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Del Coso\Dropbox\VALORACIÓN DE LA CONDICION FÍSICA\21-22\"/>
    </mc:Choice>
  </mc:AlternateContent>
  <xr:revisionPtr revIDLastSave="0" documentId="13_ncr:1_{F5D4331E-4123-4DEA-AF57-A914932E7DAC}" xr6:coauthVersionLast="47" xr6:coauthVersionMax="47" xr10:uidLastSave="{00000000-0000-0000-0000-000000000000}"/>
  <bookViews>
    <workbookView xWindow="-108" yWindow="-108" windowWidth="23256" windowHeight="12456" tabRatio="686" firstSheet="1" activeTab="7" xr2:uid="{38AAB348-D855-44F9-8DFE-A94CBEF634CE}"/>
  </bookViews>
  <sheets>
    <sheet name="REPRODUCIBILIDAD" sheetId="1" r:id="rId1"/>
    <sheet name="1RM INDIRECTA" sheetId="4" r:id="rId2"/>
    <sheet name="POTENCIA" sheetId="5" r:id="rId3"/>
    <sheet name="VO2MAX" sheetId="6" r:id="rId4"/>
    <sheet name="WINGATE" sheetId="7" r:id="rId5"/>
    <sheet name="CORRELACIÓN" sheetId="8" r:id="rId6"/>
    <sheet name="DESHIDRATACIÓN" sheetId="10" r:id="rId7"/>
    <sheet name="CINEANTROPOMETRÍA" sheetId="11" r:id="rId8"/>
    <sheet name="LACTATO" sheetId="12" r:id="rId9"/>
  </sheets>
  <definedNames>
    <definedName name="_xlnm._FilterDatabase" localSheetId="1" hidden="1">'1RM INDIRECTA'!$A$1:$L$10</definedName>
    <definedName name="_xlnm.Print_Area" localSheetId="7">CINEANTROPOMETRÍA!$A$1:$R$39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" l="1"/>
  <c r="F12" i="4"/>
  <c r="G12" i="4"/>
  <c r="H12" i="4"/>
  <c r="I12" i="4"/>
  <c r="J12" i="4"/>
  <c r="D12" i="4"/>
  <c r="C32" i="7"/>
  <c r="D11" i="4"/>
  <c r="E11" i="4"/>
  <c r="F11" i="4"/>
  <c r="G11" i="4"/>
  <c r="H11" i="4"/>
  <c r="I11" i="4"/>
  <c r="J11" i="4"/>
  <c r="D3" i="4"/>
  <c r="E3" i="4"/>
  <c r="F3" i="4"/>
  <c r="G3" i="4"/>
  <c r="H3" i="4"/>
  <c r="I3" i="4"/>
  <c r="J3" i="4"/>
  <c r="D4" i="4"/>
  <c r="E4" i="4"/>
  <c r="F4" i="4"/>
  <c r="G4" i="4"/>
  <c r="H4" i="4"/>
  <c r="I4" i="4"/>
  <c r="J4" i="4"/>
  <c r="D5" i="4"/>
  <c r="E5" i="4"/>
  <c r="F5" i="4"/>
  <c r="G5" i="4"/>
  <c r="H5" i="4"/>
  <c r="I5" i="4"/>
  <c r="J5" i="4"/>
  <c r="D6" i="4"/>
  <c r="E6" i="4"/>
  <c r="F6" i="4"/>
  <c r="G6" i="4"/>
  <c r="H6" i="4"/>
  <c r="I6" i="4"/>
  <c r="J6" i="4"/>
  <c r="D7" i="4"/>
  <c r="E7" i="4"/>
  <c r="F7" i="4"/>
  <c r="G7" i="4"/>
  <c r="H7" i="4"/>
  <c r="I7" i="4"/>
  <c r="J7" i="4"/>
  <c r="D8" i="4"/>
  <c r="E8" i="4"/>
  <c r="F8" i="4"/>
  <c r="G8" i="4"/>
  <c r="H8" i="4"/>
  <c r="I8" i="4"/>
  <c r="J8" i="4"/>
  <c r="D9" i="4"/>
  <c r="E9" i="4"/>
  <c r="F9" i="4"/>
  <c r="G9" i="4"/>
  <c r="H9" i="4"/>
  <c r="I9" i="4"/>
  <c r="J9" i="4"/>
  <c r="D10" i="4"/>
  <c r="E10" i="4"/>
  <c r="F10" i="4"/>
  <c r="G10" i="4"/>
  <c r="H10" i="4"/>
  <c r="I10" i="4"/>
  <c r="J10" i="4"/>
  <c r="C30" i="8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E4" i="1"/>
  <c r="E5" i="1"/>
  <c r="F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T4" i="5"/>
  <c r="T5" i="5"/>
  <c r="T3" i="5"/>
  <c r="D2" i="10" l="1"/>
  <c r="D3" i="10"/>
  <c r="D4" i="10"/>
  <c r="D5" i="10"/>
  <c r="D6" i="10"/>
  <c r="D7" i="10"/>
  <c r="D8" i="10"/>
  <c r="D9" i="10"/>
  <c r="D10" i="10"/>
  <c r="D11" i="10"/>
  <c r="J29" i="11"/>
  <c r="I28" i="11"/>
  <c r="J28" i="11" s="1"/>
  <c r="I27" i="11"/>
  <c r="J26" i="11"/>
  <c r="J25" i="11"/>
  <c r="J24" i="11"/>
  <c r="F21" i="11"/>
  <c r="F20" i="11"/>
  <c r="J19" i="11"/>
  <c r="E14" i="11"/>
  <c r="F14" i="11" s="1"/>
  <c r="E13" i="11"/>
  <c r="F13" i="11" s="1"/>
  <c r="E12" i="11"/>
  <c r="E11" i="11"/>
  <c r="F11" i="11" s="1"/>
  <c r="E10" i="11"/>
  <c r="I9" i="11"/>
  <c r="F19" i="11" s="1"/>
  <c r="E9" i="11"/>
  <c r="F9" i="11" s="1"/>
  <c r="I8" i="11"/>
  <c r="E26" i="11" s="1"/>
  <c r="R4" i="11"/>
  <c r="R3" i="11"/>
  <c r="C11" i="4"/>
  <c r="J2" i="4"/>
  <c r="I2" i="4"/>
  <c r="H2" i="4"/>
  <c r="G2" i="4"/>
  <c r="F2" i="4"/>
  <c r="E2" i="4"/>
  <c r="D2" i="4"/>
  <c r="F19" i="1"/>
  <c r="I34" i="11" l="1"/>
  <c r="E15" i="11"/>
  <c r="E35" i="11" s="1"/>
  <c r="E27" i="11" s="1"/>
  <c r="F27" i="11" s="1"/>
  <c r="J9" i="11"/>
  <c r="J17" i="11"/>
  <c r="J27" i="11"/>
  <c r="F10" i="11"/>
  <c r="J18" i="11"/>
  <c r="E28" i="11"/>
  <c r="F28" i="11" s="1"/>
  <c r="F26" i="11"/>
  <c r="E38" i="11"/>
  <c r="E31" i="11"/>
  <c r="I35" i="11" s="1"/>
  <c r="J8" i="11"/>
  <c r="E32" i="11"/>
  <c r="I33" i="11"/>
  <c r="F12" i="11"/>
  <c r="F15" i="11" l="1"/>
  <c r="E37" i="11"/>
  <c r="E25" i="11"/>
  <c r="F25" i="11" s="1"/>
  <c r="I36" i="11"/>
  <c r="I43" i="11" s="1"/>
  <c r="I37" i="11"/>
  <c r="J43" i="11" s="1"/>
  <c r="E3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Montse Cañadó Olivares</author>
    <author>Xavier Aguado Jódar</author>
    <author>xaguado</author>
  </authors>
  <commentList>
    <comment ref="K2" authorId="0" shapeId="0" xr:uid="{0C6A139F-86C2-4644-A158-9EE77681A0E1}">
      <text>
        <r>
          <rPr>
            <b/>
            <sz val="8"/>
            <color indexed="81"/>
            <rFont val="Tahoma"/>
            <family val="2"/>
          </rPr>
          <t>Las medidas correspondientes a partes corporales simétricas se tomarán en la derecha a los diestros y en la izquierda a los zurdos.</t>
        </r>
      </text>
    </comment>
    <comment ref="R2" authorId="1" shapeId="0" xr:uid="{4402934F-60B5-4832-83A3-15D8250C042C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P4" authorId="1" shapeId="0" xr:uid="{E4A9F660-19A4-4A15-91A1-DDDB772CE157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desde las plantas de los pies hasta el VERTEX (punto superior de la cabeza en el plano sagital medio, cuando la cabeza está en el plano de Frankfort).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POSICIÓN:  De pie. Con los talones, glúteos, espalda y región occipital en contacto con el plano vertical del tallímetro. Mirando al frente. Hacer una inspiración profunda en el momento de la lectura.</t>
        </r>
      </text>
    </comment>
    <comment ref="J7" authorId="1" shapeId="0" xr:uid="{39D242B3-9EC2-4FC2-877E-E82E0FEEFA1C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F8" authorId="1" shapeId="0" xr:uid="{F90639CE-565F-48F1-8E35-7893B160A8FD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D9" authorId="1" shapeId="0" xr:uid="{36A1EB40-6D62-4D23-A988-404DC99E5EAD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Ángulo inferior de la escápula.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Dirección oblicua hacia abajo afuera (con 45º respecto a la horizontal).</t>
        </r>
      </text>
    </comment>
    <comment ref="H9" authorId="1" shapeId="0" xr:uid="{857A6AEA-BF5C-41E1-9762-CE033D329761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desde las plantas de los pies hasta el VERTEX (punto superior de la cabeza en el plano sagital medio, cuando la cabeza está en el plano de Frankfort).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POSICIÓN:  De pie. Con los talones, glúteos, espalda y región occipital en contacto con el plano vertical del tallímetro. Mirando al frente. Hacer una inspiración profunda en el momento de la lectura.</t>
        </r>
      </text>
    </comment>
    <comment ref="M9" authorId="1" shapeId="0" xr:uid="{377CEA27-81B7-4D34-AF52-E4F666787E87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Ángulo inferior de la escápula.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Dirección oblicua hacia abajo afuera (con 45º respecto a la horizontal).</t>
        </r>
      </text>
    </comment>
    <comment ref="D10" authorId="1" shapeId="0" xr:uid="{02C61680-1A97-426C-9364-2ADEBC015428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Intersección entre LÍNEA SUPRAILÍACA y línea imaginaria que va entre ESPINA ILÍACA ANTEROSUPERIOR y BORDE AXILAR ANTERIOR.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Oblícuo (45º con la horizontal).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adultos se encuentra 5-7 cm encima de la ESPINA ILÍACA ANTEROSUPERIOR.</t>
        </r>
      </text>
    </comment>
    <comment ref="M10" authorId="1" shapeId="0" xr:uid="{0AEBCBA9-DD98-4D6F-BD3A-61814D78F9A3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Intersección entre LÍNEA SUPRAILÍACA y línea imaginaria que va entre ESPINA ILÍACA ANTEROSUPERIOR y BORDE AXILAR ANTERIOR.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Oblícuo (45º con la horizontal).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adultos se encuentra 5-7 cm encima de la ESPINA ILÍACA ANTEROSUPERIOR.</t>
        </r>
      </text>
    </comment>
    <comment ref="D11" authorId="1" shapeId="0" xr:uid="{223B3897-FA71-4C2E-945F-414B96FE62A1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Lateralmente (3 cm) a la altura de la cicatriz umbilical.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 Paralelo al eje longitudinal del cuerpo.
</t>
        </r>
      </text>
    </comment>
    <comment ref="M11" authorId="1" shapeId="0" xr:uid="{06059E9A-11FE-46F0-93E2-53ECA09759DB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Lateralmente (3 cm) a la altura de la cicatriz umbilical.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 Paralelo al eje longitudinal del cuerpo.
</t>
        </r>
      </text>
    </comment>
    <comment ref="D12" authorId="1" shapeId="0" xr:uid="{17DB85E7-3F63-47FD-A8E3-C3DCFAFEE90A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ACROMIO-RADIAL, en la parte posterior del brazo.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Pliegue vertical, paralelo al eje longitudinal del brazo.</t>
        </r>
      </text>
    </comment>
    <comment ref="M12" authorId="1" shapeId="0" xr:uid="{98038427-1749-4ED4-8833-5BBE93A6E020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ACROMIO-RADIAL, en la parte posterior del brazo.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Pliegue vertical, paralelo al eje longitudinal del brazo.</t>
        </r>
      </text>
    </comment>
    <comment ref="D13" authorId="1" shapeId="0" xr:uid="{45DFFC44-0999-4EF0-9563-D47528AB1068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entre pliegue INGUINAL y borde proximal de la RÓTULA. 
Longitudinal.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 sentado con rodillas a 90º de flexión y pies en el suelo. </t>
        </r>
      </text>
    </comment>
    <comment ref="M13" authorId="1" shapeId="0" xr:uid="{78BC376B-97E6-45AA-A48D-A303D3758E26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entre pliegue INGUINAL y borde proximal de la RÓTULA. 
Longitudinal.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 sentado con rodillas a 90º de flexión y pies en el suelo. </t>
        </r>
      </text>
    </comment>
    <comment ref="D14" authorId="1" shapeId="0" xr:uid="{48185924-15CD-4AE7-BF0C-DB40B1834A66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A nivel de la máxima circunferencia de la pierna.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Cara medial.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Paralelo al eje longitudinal de la pierna.
Sentado con rodilla flexionada 90º y pie encima de un banco.</t>
        </r>
      </text>
    </comment>
    <comment ref="M14" authorId="1" shapeId="0" xr:uid="{540A8B8E-4DD1-4AA6-B6C6-72E0CD57F109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A nivel de la máxima circunferencia de la pierna.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Cara medial.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Paralelo al eje longitudinal de la pierna.
Sentado con rodilla flexionada 90º y pie encima de un banco.</t>
        </r>
      </text>
    </comment>
    <comment ref="D15" authorId="1" shapeId="0" xr:uid="{5C986968-D678-46AE-8C2D-43F7D3A89403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la primera casilla  de la izquierda se realiza la SUMA en mm de los 6 pliegues.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la segunda casilla de la derecha se realiza el PROMEDIO de los 6 valores Z.</t>
        </r>
      </text>
    </comment>
    <comment ref="J16" authorId="1" shapeId="0" xr:uid="{906F741F-4DC8-41BF-92E7-07CD0D223AC6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H17" authorId="1" shapeId="0" xr:uid="{8AB9098E-5AB6-4B03-BF24-DA4FE354C364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entre cóndilo medial y lateral del fémur.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sentado y con la rodilla flexionada 90º. El antropometrista se sitúa delante de él.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Las ramas del paquímetro mirarán hacia abajo en la bisectriz del ángulo recto formado a nivel de la rodilla.</t>
        </r>
      </text>
    </comment>
    <comment ref="F18" authorId="1" shapeId="0" xr:uid="{FB09E9CA-6C95-4463-9CDE-5178BD904460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H18" authorId="1" shapeId="0" xr:uid="{43210475-F14B-4AAF-93A9-5BEE65EB9568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entre epicóndilo medial y lateral del húmero.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El antropometrista se situa delante de la persona, que tendrá en hombro y el codo flexionados 90º. El antebrazo en supinación y orientado hacia arriba.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Las ramas del paquímetro apuntarán hacia arriba en la bisectriz del ángulo recto formado a nivel del codo. La medida es algo oblicua por estar la epitróclea situada a un nivel algo inferior que el epicóndilo.</t>
        </r>
      </text>
    </comment>
    <comment ref="D19" authorId="1" shapeId="0" xr:uid="{D28BFBAE-13BA-4E29-9EF7-6FAF38CC0681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 el perímetro a mitad de distancia acromio-radial.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en posición fundamental, con el brazo relajado.</t>
        </r>
      </text>
    </comment>
    <comment ref="H19" authorId="1" shapeId="0" xr:uid="{375AC4FB-4DAA-4A7E-82DB-A706AE96F387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entre la apófisis estiloide del radio y del cúbito.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sentada, con el antebrazo en pronación, sobre el muslo. El codo flexionado 90º y la muñeca flexionada unos 90º.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Las ramas del paquímetro se colocarán dirigidas hacia abajo en la bisectriz del ángulo de la muñeca.</t>
        </r>
      </text>
    </comment>
    <comment ref="D20" authorId="1" shapeId="0" xr:uid="{B45E2A71-C4FC-40E0-AC5C-B73B30E3EEFD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Perímetro medido a nivel de la máxima circunferencia de la pierna.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en la misma posición de los dos casos anteriores.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toman varias medidas hasta localizar el máximo perímetro de la pierna.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El perímetro se toma en direccción perpendicular al eje de la pierna.</t>
        </r>
      </text>
    </comment>
    <comment ref="D23" authorId="0" shapeId="0" xr:uid="{91FB5238-1400-4EAE-A322-57B601A86398}">
      <text>
        <r>
          <rPr>
            <b/>
            <sz val="8"/>
            <color indexed="81"/>
            <rFont val="Tahoma"/>
            <family val="2"/>
          </rPr>
          <t>Cálculos realizados según el modelo de Paolo de Leva (1996); diferentes para hombres y mujeres.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1" shapeId="0" xr:uid="{0767BF7E-466D-439A-831E-118E8F487FE7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F24" authorId="2" shapeId="0" xr:uid="{F118486F-CC96-4017-BF67-2887439AA2AB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H24" authorId="1" shapeId="0" xr:uid="{0E3C8D90-82EA-47CB-ACCD-1CFDB6E469B3}">
      <text>
        <r>
          <rPr>
            <b/>
            <sz val="8"/>
            <color indexed="81"/>
            <rFont val="Tahoma"/>
            <family val="2"/>
          </rPr>
          <t>Desde el plano de sustentación al punto trocantéreo.</t>
        </r>
      </text>
    </comment>
    <comment ref="D25" authorId="0" shapeId="0" xr:uid="{DC4337D2-FF81-44E0-8A41-3648316D24C3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5" authorId="1" shapeId="0" xr:uid="{0EFCD2F2-9576-4A91-ADE5-1EE70B92F017}">
      <text>
        <r>
          <rPr>
            <b/>
            <sz val="8"/>
            <color indexed="81"/>
            <rFont val="Tahoma"/>
            <family val="2"/>
          </rPr>
          <t>Desde el plano de sustentación hasta la cabera del peroné.</t>
        </r>
      </text>
    </comment>
    <comment ref="D26" authorId="0" shapeId="0" xr:uid="{40377158-88B4-431F-A862-8DC0AE25F596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6" authorId="1" shapeId="0" xr:uid="{FF2BDBD6-29CB-4AAA-AB9A-91658D2532B9}">
      <text>
        <r>
          <rPr>
            <b/>
            <sz val="8"/>
            <color indexed="81"/>
            <rFont val="Tahoma"/>
            <family val="2"/>
          </rPr>
          <t xml:space="preserve">* Desde el plano de sustentación hasta el punto distal del maleolo tibial.
</t>
        </r>
      </text>
    </comment>
    <comment ref="D27" authorId="2" shapeId="0" xr:uid="{C5894FC3-6844-43F3-BD8D-AD7354F61256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7" authorId="1" shapeId="0" xr:uid="{58733FC9-454B-41E0-AEC7-32364EB89B87}">
      <text>
        <r>
          <rPr>
            <b/>
            <sz val="8"/>
            <color indexed="81"/>
            <rFont val="Tahoma"/>
            <family val="2"/>
          </rPr>
          <t xml:space="preserve">Altura desde el maleolo peroneal hasta la cabeza del peroné </t>
        </r>
      </text>
    </comment>
    <comment ref="D28" authorId="0" shapeId="0" xr:uid="{03CC4402-345D-42B8-8B85-9B562429F037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8" authorId="1" shapeId="0" xr:uid="{9449B23B-A559-4927-B29B-2A92DC28BE77}">
      <text>
        <r>
          <rPr>
            <b/>
            <sz val="8"/>
            <color indexed="81"/>
            <rFont val="Tahoma"/>
            <family val="2"/>
          </rPr>
          <t>Diferencia entre la altura trocantérea y la peroneal.</t>
        </r>
      </text>
    </comment>
    <comment ref="H29" authorId="1" shapeId="0" xr:uid="{F8D633C2-7F74-4215-B2E9-31EB10D5C61E}">
      <text>
        <r>
          <rPr>
            <b/>
            <sz val="8"/>
            <color indexed="81"/>
            <rFont val="Wingdings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Mayor distancia entre los puntos del dedo medio de la mano derecha y el de la mano izquierda.
</t>
        </r>
        <r>
          <rPr>
            <b/>
            <sz val="8"/>
            <color indexed="81"/>
            <rFont val="Wingdings 2"/>
            <family val="1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apoyando la espalda en la pared, con los pies juntos y los hombros en abducción de 90º.</t>
        </r>
      </text>
    </comment>
    <comment ref="D32" authorId="1" shapeId="0" xr:uid="{83D2A7E1-57E2-48D6-AA98-468D0F88420F}">
      <text>
        <r>
          <rPr>
            <b/>
            <sz val="8"/>
            <color indexed="81"/>
            <rFont val="Tahoma"/>
            <family val="2"/>
          </rPr>
          <t>Índice de Quetelet</t>
        </r>
      </text>
    </comment>
    <comment ref="I32" authorId="1" shapeId="0" xr:uid="{F6732F43-D815-48B3-B725-9D80D45A7F37}">
      <text>
        <r>
          <rPr>
            <b/>
            <sz val="8"/>
            <color indexed="81"/>
            <rFont val="Tahoma"/>
            <family val="2"/>
          </rPr>
          <t>Según metodología de Heath-Carter.</t>
        </r>
      </text>
    </comment>
    <comment ref="D35" authorId="1" shapeId="0" xr:uid="{3A5D9281-F2A1-4236-BB5C-3190F40F77F1}">
      <text>
        <r>
          <rPr>
            <b/>
            <sz val="8"/>
            <color indexed="81"/>
            <rFont val="Tahoma"/>
            <family val="2"/>
          </rPr>
          <t>Ecuación de Carter (1982).</t>
        </r>
      </text>
    </comment>
  </commentList>
</comments>
</file>

<file path=xl/sharedStrings.xml><?xml version="1.0" encoding="utf-8"?>
<sst xmlns="http://schemas.openxmlformats.org/spreadsheetml/2006/main" count="212" uniqueCount="156">
  <si>
    <t>Intento 1</t>
  </si>
  <si>
    <t>Intento 2</t>
  </si>
  <si>
    <t>Nombre</t>
  </si>
  <si>
    <t>Fuerza (kg)</t>
  </si>
  <si>
    <t>Intento 3</t>
  </si>
  <si>
    <t>Silvia</t>
  </si>
  <si>
    <t>David</t>
  </si>
  <si>
    <t>CV</t>
  </si>
  <si>
    <t>PROMEDIO</t>
  </si>
  <si>
    <t>Izan</t>
  </si>
  <si>
    <t>Antonio</t>
  </si>
  <si>
    <t>Anabel</t>
  </si>
  <si>
    <t>Andrés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</si>
  <si>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</si>
  <si>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</si>
  <si>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</si>
  <si>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</si>
  <si>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</si>
  <si>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</si>
  <si>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</si>
  <si>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</si>
  <si>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</si>
  <si>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</si>
  <si>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</si>
  <si>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</si>
  <si>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</si>
  <si>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</si>
  <si>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</si>
  <si>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</si>
  <si>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Ejercicio</t>
  </si>
  <si>
    <t>1 RM real</t>
  </si>
  <si>
    <t>Bryzcki</t>
  </si>
  <si>
    <t>Epley</t>
  </si>
  <si>
    <t>Lander</t>
  </si>
  <si>
    <t>Lombardi</t>
  </si>
  <si>
    <t>Mayhew</t>
  </si>
  <si>
    <t xml:space="preserve">Wathen </t>
  </si>
  <si>
    <t>Carga (kg)</t>
  </si>
  <si>
    <t>Repeticones (n)</t>
  </si>
  <si>
    <t>Prensa pierna</t>
  </si>
  <si>
    <t>Iñigo</t>
  </si>
  <si>
    <t>Nacho</t>
  </si>
  <si>
    <t xml:space="preserve">Nicolás </t>
  </si>
  <si>
    <t>O'Connor</t>
  </si>
  <si>
    <t>Carga en valores relativos (% 1RM)</t>
  </si>
  <si>
    <t>Carga (W)</t>
  </si>
  <si>
    <t>VO2 (mL/kg/min)</t>
  </si>
  <si>
    <t>Escala de Borg (unidades arbitarias)</t>
  </si>
  <si>
    <t>FC (lat/min)</t>
  </si>
  <si>
    <t>Edad</t>
  </si>
  <si>
    <t xml:space="preserve">Peso </t>
  </si>
  <si>
    <t>70 kg</t>
  </si>
  <si>
    <t>18 años</t>
  </si>
  <si>
    <t>Tiempo (s)</t>
  </si>
  <si>
    <t>Pedaleo (rpm)</t>
  </si>
  <si>
    <t>Potencia (W)</t>
  </si>
  <si>
    <t>Participante</t>
  </si>
  <si>
    <t>Abalakov (cm)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</si>
  <si>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</si>
  <si>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</si>
  <si>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</si>
  <si>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</si>
  <si>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</si>
  <si>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</si>
  <si>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</si>
  <si>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</si>
  <si>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</si>
  <si>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</si>
  <si>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</si>
  <si>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T-test (s)</t>
  </si>
  <si>
    <t>Peso pre (kg)</t>
  </si>
  <si>
    <t>Peso post (kg)</t>
  </si>
  <si>
    <t>Deshidratación (%)</t>
  </si>
  <si>
    <t>Temperatura ambiental (ºC)</t>
  </si>
  <si>
    <t>Humedad relativa (%)</t>
  </si>
  <si>
    <t>Tiempo de ejercicio</t>
  </si>
  <si>
    <t>Jugador 1</t>
  </si>
  <si>
    <t>Jugador 2</t>
  </si>
  <si>
    <t>Jugador 3</t>
  </si>
  <si>
    <t>Jugador 4</t>
  </si>
  <si>
    <t>Jugador 5</t>
  </si>
  <si>
    <t>Jugador 6</t>
  </si>
  <si>
    <t>Jugador 7</t>
  </si>
  <si>
    <t>Jugador 8</t>
  </si>
  <si>
    <t>Jugador 9</t>
  </si>
  <si>
    <t>Jugador 10</t>
  </si>
  <si>
    <t>Partido de fútbol (90 min)</t>
  </si>
  <si>
    <t>hombre</t>
  </si>
  <si>
    <t>mujer</t>
  </si>
  <si>
    <t>PLANILLA DE</t>
  </si>
  <si>
    <t>Z</t>
  </si>
  <si>
    <t>MEDIDAS ANTROPOMÉTRICAS Y SOMATOTIPO</t>
  </si>
  <si>
    <t>Peso (kg)</t>
  </si>
  <si>
    <t>Estatura (cm)</t>
  </si>
  <si>
    <t>PLIEGUES</t>
  </si>
  <si>
    <t>mm</t>
  </si>
  <si>
    <t>1ª medida</t>
  </si>
  <si>
    <t>2ª medida</t>
  </si>
  <si>
    <t>3ª medida</t>
  </si>
  <si>
    <t>Subescapular</t>
  </si>
  <si>
    <t xml:space="preserve">Supraespinal </t>
  </si>
  <si>
    <t xml:space="preserve">Abdominal </t>
  </si>
  <si>
    <t xml:space="preserve">Tríceps </t>
  </si>
  <si>
    <t>Sexo</t>
  </si>
  <si>
    <t xml:space="preserve">Anterior muslo </t>
  </si>
  <si>
    <t>Edad (años)</t>
  </si>
  <si>
    <t xml:space="preserve">Pierna </t>
  </si>
  <si>
    <t>SUMA 6 PLIEGUES</t>
  </si>
  <si>
    <t xml:space="preserve">DIÁMETROS        </t>
  </si>
  <si>
    <t>cm</t>
  </si>
  <si>
    <t>PERÍMETROS</t>
  </si>
  <si>
    <t>Bicondíleo fémur</t>
  </si>
  <si>
    <t>Bicondíleo húmero</t>
  </si>
  <si>
    <t>Brazo relajado</t>
  </si>
  <si>
    <t>Biestiloideo</t>
  </si>
  <si>
    <t>Pierna</t>
  </si>
  <si>
    <t>Muslo</t>
  </si>
  <si>
    <t>LONGITUDES</t>
  </si>
  <si>
    <t xml:space="preserve">PESOS                                                                                                                </t>
  </si>
  <si>
    <t xml:space="preserve">                                   kg</t>
  </si>
  <si>
    <t>Altura trocánter</t>
  </si>
  <si>
    <t>Peso muscular</t>
  </si>
  <si>
    <t>Altura meseta tibial</t>
  </si>
  <si>
    <t>Peso residual</t>
  </si>
  <si>
    <t>Alt. maleolo tibial</t>
  </si>
  <si>
    <t>Peso graso</t>
  </si>
  <si>
    <t>Longitud pierna</t>
  </si>
  <si>
    <t>Peso óseo</t>
  </si>
  <si>
    <t>Longitud muslo</t>
  </si>
  <si>
    <t>Envergadura</t>
  </si>
  <si>
    <t>ÍNDICES</t>
  </si>
  <si>
    <t>Ponderal</t>
  </si>
  <si>
    <t xml:space="preserve"> INDICE MASA CORPORAL</t>
  </si>
  <si>
    <t>SOMATOTIPO:</t>
  </si>
  <si>
    <t>Endomórfico</t>
  </si>
  <si>
    <t>COMPOSICIÓN CORPORAL:</t>
  </si>
  <si>
    <t>Mesomórfico</t>
  </si>
  <si>
    <t>% Grasa</t>
  </si>
  <si>
    <t>Ectomórfico</t>
  </si>
  <si>
    <t>% Muscular</t>
  </si>
  <si>
    <t>X</t>
  </si>
  <si>
    <t>% Óseo</t>
  </si>
  <si>
    <t>Y</t>
  </si>
  <si>
    <t>% Residual</t>
  </si>
  <si>
    <t>LÍMITES DE LA SOMATOCARTA</t>
  </si>
  <si>
    <t>ENDOMORFIA</t>
  </si>
  <si>
    <t>MESOMORFIA</t>
  </si>
  <si>
    <t>ECTOMORFIA</t>
  </si>
  <si>
    <t>36,5</t>
  </si>
  <si>
    <t>Mediciones</t>
  </si>
  <si>
    <t>Diego</t>
  </si>
  <si>
    <t>Carga (w)</t>
  </si>
  <si>
    <t>VO2 (L/min)</t>
  </si>
  <si>
    <t>VCO2 (L/min)</t>
  </si>
  <si>
    <t>Escala Borg (u.a.)</t>
  </si>
  <si>
    <t>Lactato (mmol/L)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</si>
</sst>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color indexed="9"/>
      <name val="Arial"/>
      <family val="2"/>
    </font>
    <font>
      <b/>
      <sz val="14"/>
      <name val="Comic Sans MS"/>
      <family val="4"/>
    </font>
    <font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9"/>
      <color indexed="8"/>
      <name val="Arial"/>
      <family val="2"/>
    </font>
    <font>
      <sz val="11"/>
      <color theme="1"/>
      <name val="Times New Roman"/>
      <family val="1"/>
    </font>
    <font>
      <b/>
      <sz val="11"/>
      <name val="Comic Sans MS"/>
      <family val="4"/>
    </font>
    <font>
      <sz val="10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sz val="11"/>
      <name val="Arial"/>
      <family val="2"/>
    </font>
    <font>
      <b/>
      <sz val="9"/>
      <name val="Comic Sans MS"/>
      <family val="4"/>
    </font>
    <font>
      <b/>
      <sz val="8"/>
      <color indexed="81"/>
      <name val="Tahoma"/>
      <family val="2"/>
    </font>
    <font>
      <b/>
      <sz val="11"/>
      <color indexed="81"/>
      <name val="CommonBullets"/>
      <family val="2"/>
      <charset val="2"/>
    </font>
    <font>
      <sz val="8"/>
      <color indexed="81"/>
      <name val="Tahoma"/>
      <family val="2"/>
    </font>
    <font>
      <b/>
      <sz val="8"/>
      <color indexed="81"/>
      <name val="Wingdings"/>
      <charset val="2"/>
    </font>
    <font>
      <b/>
      <sz val="8"/>
      <color indexed="81"/>
      <name val="Wingdings 2"/>
      <family val="1"/>
      <charset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7" fillId="0" borderId="0"/>
  </cellStyleXfs>
  <cellXfs count="17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164" fontId="4" fillId="2" borderId="0" xfId="0" applyNumberFormat="1" applyFont="1" applyFill="1"/>
    <xf numFmtId="0" fontId="0" fillId="0" borderId="4" xfId="0" applyBorder="1"/>
    <xf numFmtId="164" fontId="4" fillId="2" borderId="4" xfId="0" applyNumberFormat="1" applyFont="1" applyFill="1" applyBorder="1"/>
    <xf numFmtId="0" fontId="1" fillId="3" borderId="0" xfId="0" applyFont="1" applyFill="1"/>
    <xf numFmtId="165" fontId="0" fillId="3" borderId="0" xfId="1" applyNumberFormat="1" applyFont="1" applyFill="1" applyBorder="1"/>
    <xf numFmtId="165" fontId="5" fillId="2" borderId="4" xfId="1" applyNumberFormat="1" applyFont="1" applyFill="1" applyBorder="1"/>
    <xf numFmtId="164" fontId="0" fillId="3" borderId="0" xfId="0" applyNumberFormat="1" applyFill="1"/>
    <xf numFmtId="0" fontId="4" fillId="4" borderId="1" xfId="0" applyFont="1" applyFill="1" applyBorder="1"/>
    <xf numFmtId="0" fontId="0" fillId="5" borderId="1" xfId="0" applyFill="1" applyBorder="1"/>
    <xf numFmtId="2" fontId="0" fillId="0" borderId="1" xfId="0" applyNumberFormat="1" applyBorder="1" applyAlignment="1">
      <alignment horizontal="center"/>
    </xf>
    <xf numFmtId="1" fontId="0" fillId="5" borderId="1" xfId="0" applyNumberFormat="1" applyFill="1" applyBorder="1"/>
    <xf numFmtId="2" fontId="0" fillId="0" borderId="0" xfId="0" applyNumberFormat="1"/>
    <xf numFmtId="164" fontId="1" fillId="3" borderId="0" xfId="0" applyNumberFormat="1" applyFont="1" applyFill="1"/>
    <xf numFmtId="1" fontId="0" fillId="0" borderId="1" xfId="0" applyNumberForma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6" borderId="1" xfId="0" applyFill="1" applyBorder="1"/>
    <xf numFmtId="0" fontId="6" fillId="7" borderId="1" xfId="2" applyFill="1" applyBorder="1" applyAlignment="1">
      <alignment horizontal="center"/>
    </xf>
    <xf numFmtId="0" fontId="6" fillId="8" borderId="1" xfId="2" applyFill="1" applyBorder="1" applyAlignment="1">
      <alignment horizontal="center"/>
    </xf>
    <xf numFmtId="0" fontId="3" fillId="0" borderId="0" xfId="3"/>
    <xf numFmtId="0" fontId="6" fillId="9" borderId="1" xfId="2" applyFill="1" applyBorder="1" applyAlignment="1">
      <alignment horizontal="center"/>
    </xf>
    <xf numFmtId="43" fontId="0" fillId="10" borderId="1" xfId="4" applyFont="1" applyFill="1" applyBorder="1" applyAlignment="1"/>
    <xf numFmtId="0" fontId="6" fillId="10" borderId="1" xfId="2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0" fontId="0" fillId="0" borderId="1" xfId="1" applyNumberFormat="1" applyFont="1" applyBorder="1"/>
    <xf numFmtId="0" fontId="8" fillId="11" borderId="0" xfId="5" applyFont="1" applyFill="1" applyProtection="1">
      <protection locked="0" hidden="1"/>
    </xf>
    <xf numFmtId="0" fontId="7" fillId="11" borderId="0" xfId="5" applyFill="1" applyProtection="1">
      <protection hidden="1"/>
    </xf>
    <xf numFmtId="0" fontId="7" fillId="11" borderId="5" xfId="5" applyFill="1" applyBorder="1" applyProtection="1">
      <protection hidden="1"/>
    </xf>
    <xf numFmtId="0" fontId="9" fillId="11" borderId="6" xfId="5" applyFont="1" applyFill="1" applyBorder="1" applyProtection="1">
      <protection hidden="1"/>
    </xf>
    <xf numFmtId="0" fontId="10" fillId="11" borderId="6" xfId="5" applyFont="1" applyFill="1" applyBorder="1" applyProtection="1">
      <protection hidden="1"/>
    </xf>
    <xf numFmtId="0" fontId="7" fillId="11" borderId="6" xfId="5" applyFill="1" applyBorder="1" applyProtection="1">
      <protection hidden="1"/>
    </xf>
    <xf numFmtId="0" fontId="7" fillId="11" borderId="7" xfId="5" applyFill="1" applyBorder="1" applyProtection="1">
      <protection hidden="1"/>
    </xf>
    <xf numFmtId="0" fontId="7" fillId="12" borderId="8" xfId="5" applyFill="1" applyBorder="1" applyProtection="1">
      <protection hidden="1"/>
    </xf>
    <xf numFmtId="0" fontId="11" fillId="12" borderId="9" xfId="5" applyFont="1" applyFill="1" applyBorder="1" applyAlignment="1" applyProtection="1">
      <alignment horizontal="center"/>
      <protection hidden="1"/>
    </xf>
    <xf numFmtId="0" fontId="7" fillId="11" borderId="10" xfId="5" applyFill="1" applyBorder="1" applyProtection="1">
      <protection hidden="1"/>
    </xf>
    <xf numFmtId="0" fontId="9" fillId="11" borderId="11" xfId="5" applyFont="1" applyFill="1" applyBorder="1" applyProtection="1">
      <protection hidden="1"/>
    </xf>
    <xf numFmtId="0" fontId="10" fillId="11" borderId="11" xfId="5" applyFont="1" applyFill="1" applyBorder="1" applyProtection="1">
      <protection hidden="1"/>
    </xf>
    <xf numFmtId="0" fontId="7" fillId="11" borderId="11" xfId="5" applyFill="1" applyBorder="1" applyProtection="1">
      <protection hidden="1"/>
    </xf>
    <xf numFmtId="0" fontId="7" fillId="11" borderId="12" xfId="5" applyFill="1" applyBorder="1" applyProtection="1">
      <protection hidden="1"/>
    </xf>
    <xf numFmtId="0" fontId="7" fillId="12" borderId="13" xfId="5" applyFill="1" applyBorder="1" applyProtection="1">
      <protection hidden="1"/>
    </xf>
    <xf numFmtId="2" fontId="12" fillId="11" borderId="14" xfId="5" applyNumberFormat="1" applyFont="1" applyFill="1" applyBorder="1" applyAlignment="1" applyProtection="1">
      <alignment horizontal="center" vertical="center"/>
      <protection locked="0"/>
    </xf>
    <xf numFmtId="2" fontId="12" fillId="13" borderId="15" xfId="5" applyNumberFormat="1" applyFont="1" applyFill="1" applyBorder="1" applyAlignment="1" applyProtection="1">
      <alignment horizontal="center" vertical="center"/>
      <protection hidden="1"/>
    </xf>
    <xf numFmtId="0" fontId="9" fillId="11" borderId="0" xfId="5" applyFont="1" applyFill="1" applyProtection="1">
      <protection hidden="1"/>
    </xf>
    <xf numFmtId="0" fontId="10" fillId="11" borderId="0" xfId="5" applyFont="1" applyFill="1" applyProtection="1">
      <protection hidden="1"/>
    </xf>
    <xf numFmtId="0" fontId="13" fillId="11" borderId="0" xfId="5" applyFont="1" applyFill="1" applyAlignment="1" applyProtection="1">
      <alignment horizontal="right" vertical="top"/>
      <protection hidden="1"/>
    </xf>
    <xf numFmtId="0" fontId="7" fillId="12" borderId="16" xfId="5" applyFill="1" applyBorder="1" applyProtection="1">
      <protection hidden="1"/>
    </xf>
    <xf numFmtId="2" fontId="12" fillId="11" borderId="17" xfId="5" applyNumberFormat="1" applyFont="1" applyFill="1" applyBorder="1" applyAlignment="1" applyProtection="1">
      <alignment horizontal="center" vertical="center"/>
      <protection locked="0"/>
    </xf>
    <xf numFmtId="2" fontId="14" fillId="13" borderId="18" xfId="5" applyNumberFormat="1" applyFont="1" applyFill="1" applyBorder="1" applyAlignment="1" applyProtection="1">
      <alignment horizontal="center" vertical="center"/>
      <protection hidden="1"/>
    </xf>
    <xf numFmtId="0" fontId="7" fillId="11" borderId="19" xfId="5" applyFill="1" applyBorder="1" applyProtection="1">
      <protection hidden="1"/>
    </xf>
    <xf numFmtId="0" fontId="15" fillId="12" borderId="8" xfId="5" applyFont="1" applyFill="1" applyBorder="1" applyAlignment="1" applyProtection="1">
      <alignment horizontal="left" vertical="center"/>
      <protection hidden="1"/>
    </xf>
    <xf numFmtId="0" fontId="7" fillId="12" borderId="20" xfId="5" applyFill="1" applyBorder="1" applyProtection="1">
      <protection hidden="1"/>
    </xf>
    <xf numFmtId="0" fontId="7" fillId="12" borderId="21" xfId="5" applyFill="1" applyBorder="1" applyProtection="1">
      <protection hidden="1"/>
    </xf>
    <xf numFmtId="0" fontId="7" fillId="11" borderId="22" xfId="5" applyFill="1" applyBorder="1" applyProtection="1">
      <protection hidden="1"/>
    </xf>
    <xf numFmtId="0" fontId="15" fillId="12" borderId="23" xfId="5" applyFont="1" applyFill="1" applyBorder="1" applyAlignment="1" applyProtection="1">
      <alignment horizontal="center" vertical="center"/>
      <protection hidden="1"/>
    </xf>
    <xf numFmtId="0" fontId="11" fillId="12" borderId="24" xfId="5" applyFont="1" applyFill="1" applyBorder="1" applyAlignment="1" applyProtection="1">
      <alignment horizontal="center"/>
      <protection hidden="1"/>
    </xf>
    <xf numFmtId="0" fontId="7" fillId="12" borderId="25" xfId="5" applyFill="1" applyBorder="1" applyAlignment="1" applyProtection="1">
      <alignment horizontal="center"/>
      <protection hidden="1"/>
    </xf>
    <xf numFmtId="0" fontId="7" fillId="12" borderId="26" xfId="5" applyFill="1" applyBorder="1" applyAlignment="1" applyProtection="1">
      <alignment horizontal="center"/>
      <protection hidden="1"/>
    </xf>
    <xf numFmtId="0" fontId="7" fillId="12" borderId="27" xfId="5" applyFill="1" applyBorder="1" applyAlignment="1" applyProtection="1">
      <alignment horizontal="center"/>
      <protection hidden="1"/>
    </xf>
    <xf numFmtId="0" fontId="16" fillId="12" borderId="28" xfId="5" applyFont="1" applyFill="1" applyBorder="1" applyProtection="1">
      <protection hidden="1"/>
    </xf>
    <xf numFmtId="164" fontId="12" fillId="13" borderId="14" xfId="5" applyNumberFormat="1" applyFont="1" applyFill="1" applyBorder="1" applyAlignment="1" applyProtection="1">
      <alignment horizontal="center"/>
      <protection hidden="1"/>
    </xf>
    <xf numFmtId="2" fontId="12" fillId="13" borderId="15" xfId="5" applyNumberFormat="1" applyFont="1" applyFill="1" applyBorder="1" applyAlignment="1" applyProtection="1">
      <alignment horizontal="center"/>
      <protection hidden="1"/>
    </xf>
    <xf numFmtId="2" fontId="12" fillId="13" borderId="18" xfId="5" applyNumberFormat="1" applyFont="1" applyFill="1" applyBorder="1" applyAlignment="1" applyProtection="1">
      <alignment horizontal="center" vertical="center"/>
      <protection hidden="1"/>
    </xf>
    <xf numFmtId="0" fontId="17" fillId="12" borderId="23" xfId="5" applyFont="1" applyFill="1" applyBorder="1" applyProtection="1">
      <protection hidden="1"/>
    </xf>
    <xf numFmtId="0" fontId="7" fillId="11" borderId="29" xfId="5" applyFill="1" applyBorder="1" applyProtection="1">
      <protection locked="0"/>
    </xf>
    <xf numFmtId="0" fontId="7" fillId="11" borderId="30" xfId="5" applyFill="1" applyBorder="1" applyProtection="1">
      <protection locked="0"/>
    </xf>
    <xf numFmtId="0" fontId="7" fillId="11" borderId="31" xfId="5" applyFill="1" applyBorder="1" applyProtection="1">
      <protection locked="0"/>
    </xf>
    <xf numFmtId="0" fontId="7" fillId="12" borderId="28" xfId="5" applyFill="1" applyBorder="1" applyProtection="1">
      <protection hidden="1"/>
    </xf>
    <xf numFmtId="2" fontId="12" fillId="13" borderId="32" xfId="5" applyNumberFormat="1" applyFont="1" applyFill="1" applyBorder="1" applyAlignment="1" applyProtection="1">
      <alignment horizontal="center"/>
      <protection hidden="1"/>
    </xf>
    <xf numFmtId="0" fontId="17" fillId="12" borderId="28" xfId="5" applyFont="1" applyFill="1" applyBorder="1" applyProtection="1">
      <protection hidden="1"/>
    </xf>
    <xf numFmtId="0" fontId="7" fillId="11" borderId="33" xfId="5" applyFill="1" applyBorder="1" applyProtection="1">
      <protection locked="0"/>
    </xf>
    <xf numFmtId="0" fontId="7" fillId="11" borderId="1" xfId="5" applyFill="1" applyBorder="1" applyProtection="1">
      <protection locked="0"/>
    </xf>
    <xf numFmtId="0" fontId="7" fillId="11" borderId="32" xfId="5" applyFill="1" applyBorder="1" applyProtection="1">
      <protection locked="0"/>
    </xf>
    <xf numFmtId="2" fontId="12" fillId="11" borderId="0" xfId="5" quotePrefix="1" applyNumberFormat="1" applyFont="1" applyFill="1" applyAlignment="1" applyProtection="1">
      <alignment horizontal="center"/>
      <protection locked="0"/>
    </xf>
    <xf numFmtId="2" fontId="7" fillId="11" borderId="0" xfId="5" applyNumberFormat="1" applyFill="1" applyAlignment="1" applyProtection="1">
      <alignment horizontal="center"/>
      <protection hidden="1"/>
    </xf>
    <xf numFmtId="2" fontId="12" fillId="13" borderId="32" xfId="5" applyNumberFormat="1" applyFont="1" applyFill="1" applyBorder="1" applyAlignment="1" applyProtection="1">
      <alignment horizontal="center" vertical="center"/>
      <protection hidden="1"/>
    </xf>
    <xf numFmtId="0" fontId="7" fillId="12" borderId="2" xfId="5" applyFill="1" applyBorder="1" applyAlignment="1" applyProtection="1">
      <alignment horizontal="left" vertical="center"/>
      <protection hidden="1"/>
    </xf>
    <xf numFmtId="0" fontId="12" fillId="11" borderId="31" xfId="5" applyFont="1" applyFill="1" applyBorder="1" applyAlignment="1" applyProtection="1">
      <alignment horizontal="center"/>
      <protection locked="0"/>
    </xf>
    <xf numFmtId="0" fontId="7" fillId="12" borderId="34" xfId="5" applyFill="1" applyBorder="1" applyProtection="1">
      <protection hidden="1"/>
    </xf>
    <xf numFmtId="1" fontId="12" fillId="11" borderId="18" xfId="5" applyNumberFormat="1" applyFont="1" applyFill="1" applyBorder="1" applyAlignment="1" applyProtection="1">
      <alignment horizontal="center"/>
      <protection locked="0"/>
    </xf>
    <xf numFmtId="0" fontId="17" fillId="12" borderId="16" xfId="5" applyFont="1" applyFill="1" applyBorder="1" applyProtection="1">
      <protection hidden="1"/>
    </xf>
    <xf numFmtId="0" fontId="7" fillId="11" borderId="17" xfId="5" applyFill="1" applyBorder="1" applyProtection="1">
      <protection locked="0"/>
    </xf>
    <xf numFmtId="0" fontId="7" fillId="11" borderId="35" xfId="5" applyFill="1" applyBorder="1" applyProtection="1">
      <protection locked="0"/>
    </xf>
    <xf numFmtId="0" fontId="7" fillId="11" borderId="18" xfId="5" applyFill="1" applyBorder="1" applyProtection="1">
      <protection locked="0"/>
    </xf>
    <xf numFmtId="164" fontId="12" fillId="13" borderId="17" xfId="5" applyNumberFormat="1" applyFont="1" applyFill="1" applyBorder="1" applyAlignment="1" applyProtection="1">
      <alignment horizontal="center"/>
      <protection hidden="1"/>
    </xf>
    <xf numFmtId="2" fontId="12" fillId="13" borderId="18" xfId="5" applyNumberFormat="1" applyFont="1" applyFill="1" applyBorder="1" applyAlignment="1" applyProtection="1">
      <alignment horizontal="center"/>
      <protection hidden="1"/>
    </xf>
    <xf numFmtId="0" fontId="17" fillId="11" borderId="0" xfId="5" applyFont="1" applyFill="1" applyProtection="1">
      <protection hidden="1"/>
    </xf>
    <xf numFmtId="0" fontId="7" fillId="11" borderId="0" xfId="5" applyFill="1" applyProtection="1">
      <protection locked="0"/>
    </xf>
    <xf numFmtId="2" fontId="7" fillId="11" borderId="0" xfId="5" applyNumberFormat="1" applyFill="1" applyProtection="1">
      <protection hidden="1"/>
    </xf>
    <xf numFmtId="0" fontId="15" fillId="12" borderId="19" xfId="5" applyFont="1" applyFill="1" applyBorder="1" applyAlignment="1" applyProtection="1">
      <alignment horizontal="left" vertical="center"/>
      <protection hidden="1"/>
    </xf>
    <xf numFmtId="2" fontId="7" fillId="12" borderId="21" xfId="5" applyNumberFormat="1" applyFill="1" applyBorder="1" applyProtection="1">
      <protection hidden="1"/>
    </xf>
    <xf numFmtId="2" fontId="7" fillId="11" borderId="33" xfId="5" applyNumberFormat="1" applyFill="1" applyBorder="1" applyAlignment="1" applyProtection="1">
      <alignment horizontal="center"/>
      <protection locked="0"/>
    </xf>
    <xf numFmtId="2" fontId="7" fillId="13" borderId="32" xfId="5" applyNumberFormat="1" applyFill="1" applyBorder="1" applyAlignment="1" applyProtection="1">
      <alignment horizontal="center"/>
      <protection hidden="1"/>
    </xf>
    <xf numFmtId="0" fontId="15" fillId="12" borderId="5" xfId="5" applyFont="1" applyFill="1" applyBorder="1" applyAlignment="1" applyProtection="1">
      <alignment horizontal="center" vertical="center"/>
      <protection hidden="1"/>
    </xf>
    <xf numFmtId="0" fontId="11" fillId="12" borderId="25" xfId="5" applyFont="1" applyFill="1" applyBorder="1" applyAlignment="1" applyProtection="1">
      <alignment horizontal="center"/>
      <protection hidden="1"/>
    </xf>
    <xf numFmtId="2" fontId="11" fillId="12" borderId="27" xfId="5" applyNumberFormat="1" applyFont="1" applyFill="1" applyBorder="1" applyAlignment="1" applyProtection="1">
      <alignment horizontal="center"/>
      <protection hidden="1"/>
    </xf>
    <xf numFmtId="0" fontId="7" fillId="12" borderId="23" xfId="5" applyFill="1" applyBorder="1" applyProtection="1">
      <protection hidden="1"/>
    </xf>
    <xf numFmtId="2" fontId="7" fillId="11" borderId="29" xfId="5" applyNumberFormat="1" applyFill="1" applyBorder="1" applyAlignment="1" applyProtection="1">
      <alignment horizontal="center"/>
      <protection locked="0"/>
    </xf>
    <xf numFmtId="2" fontId="7" fillId="13" borderId="31" xfId="5" applyNumberFormat="1" applyFill="1" applyBorder="1" applyAlignment="1" applyProtection="1">
      <alignment horizontal="center"/>
      <protection hidden="1"/>
    </xf>
    <xf numFmtId="2" fontId="7" fillId="11" borderId="17" xfId="5" applyNumberFormat="1" applyFill="1" applyBorder="1" applyAlignment="1" applyProtection="1">
      <alignment horizontal="center"/>
      <protection locked="0"/>
    </xf>
    <xf numFmtId="2" fontId="7" fillId="13" borderId="18" xfId="5" applyNumberFormat="1" applyFill="1" applyBorder="1" applyAlignment="1" applyProtection="1">
      <alignment horizontal="center"/>
      <protection hidden="1"/>
    </xf>
    <xf numFmtId="0" fontId="7" fillId="11" borderId="0" xfId="5" applyFill="1" applyAlignment="1" applyProtection="1">
      <alignment horizontal="center"/>
      <protection hidden="1"/>
    </xf>
    <xf numFmtId="0" fontId="15" fillId="12" borderId="8" xfId="5" applyFont="1" applyFill="1" applyBorder="1" applyAlignment="1" applyProtection="1">
      <alignment horizontal="left" vertical="center" wrapText="1"/>
      <protection hidden="1"/>
    </xf>
    <xf numFmtId="0" fontId="7" fillId="12" borderId="36" xfId="5" applyFill="1" applyBorder="1" applyProtection="1">
      <protection hidden="1"/>
    </xf>
    <xf numFmtId="0" fontId="11" fillId="12" borderId="37" xfId="5" applyFont="1" applyFill="1" applyBorder="1" applyAlignment="1" applyProtection="1">
      <alignment horizontal="center"/>
      <protection hidden="1"/>
    </xf>
    <xf numFmtId="0" fontId="16" fillId="12" borderId="38" xfId="5" applyFont="1" applyFill="1" applyBorder="1" applyProtection="1">
      <protection hidden="1"/>
    </xf>
    <xf numFmtId="2" fontId="7" fillId="13" borderId="23" xfId="5" applyNumberFormat="1" applyFill="1" applyBorder="1" applyAlignment="1" applyProtection="1">
      <alignment horizontal="center"/>
      <protection hidden="1"/>
    </xf>
    <xf numFmtId="0" fontId="16" fillId="12" borderId="39" xfId="5" applyFont="1" applyFill="1" applyBorder="1" applyProtection="1">
      <protection hidden="1"/>
    </xf>
    <xf numFmtId="2" fontId="7" fillId="13" borderId="28" xfId="5" applyNumberFormat="1" applyFill="1" applyBorder="1" applyAlignment="1" applyProtection="1">
      <alignment horizontal="center"/>
      <protection hidden="1"/>
    </xf>
    <xf numFmtId="2" fontId="7" fillId="13" borderId="33" xfId="5" applyNumberFormat="1" applyFill="1" applyBorder="1" applyAlignment="1" applyProtection="1">
      <alignment horizontal="center"/>
      <protection hidden="1"/>
    </xf>
    <xf numFmtId="2" fontId="7" fillId="13" borderId="28" xfId="5" quotePrefix="1" applyNumberFormat="1" applyFill="1" applyBorder="1" applyAlignment="1" applyProtection="1">
      <alignment horizontal="center"/>
      <protection hidden="1"/>
    </xf>
    <xf numFmtId="2" fontId="7" fillId="13" borderId="16" xfId="5" quotePrefix="1" applyNumberFormat="1" applyFill="1" applyBorder="1" applyAlignment="1" applyProtection="1">
      <alignment horizontal="center"/>
      <protection hidden="1"/>
    </xf>
    <xf numFmtId="0" fontId="16" fillId="12" borderId="16" xfId="5" applyFont="1" applyFill="1" applyBorder="1" applyProtection="1">
      <protection hidden="1"/>
    </xf>
    <xf numFmtId="2" fontId="7" fillId="11" borderId="17" xfId="5" applyNumberFormat="1" applyFill="1" applyBorder="1" applyProtection="1">
      <protection locked="0"/>
    </xf>
    <xf numFmtId="2" fontId="7" fillId="12" borderId="21" xfId="5" applyNumberFormat="1" applyFill="1" applyBorder="1" applyAlignment="1" applyProtection="1">
      <alignment horizontal="center"/>
      <protection hidden="1"/>
    </xf>
    <xf numFmtId="0" fontId="16" fillId="12" borderId="13" xfId="5" applyFont="1" applyFill="1" applyBorder="1" applyProtection="1">
      <protection hidden="1"/>
    </xf>
    <xf numFmtId="2" fontId="7" fillId="13" borderId="40" xfId="5" applyNumberFormat="1" applyFill="1" applyBorder="1" applyAlignment="1" applyProtection="1">
      <alignment horizontal="center"/>
      <protection hidden="1"/>
    </xf>
    <xf numFmtId="2" fontId="7" fillId="13" borderId="41" xfId="5" applyNumberFormat="1" applyFill="1" applyBorder="1" applyAlignment="1" applyProtection="1">
      <alignment horizontal="center"/>
      <protection hidden="1"/>
    </xf>
    <xf numFmtId="0" fontId="18" fillId="12" borderId="8" xfId="5" applyFont="1" applyFill="1" applyBorder="1" applyAlignment="1" applyProtection="1">
      <alignment horizontal="left" vertical="center"/>
      <protection hidden="1"/>
    </xf>
    <xf numFmtId="0" fontId="7" fillId="12" borderId="21" xfId="5" applyFill="1" applyBorder="1" applyAlignment="1" applyProtection="1">
      <alignment horizontal="center"/>
      <protection hidden="1"/>
    </xf>
    <xf numFmtId="0" fontId="19" fillId="12" borderId="23" xfId="5" applyFont="1" applyFill="1" applyBorder="1" applyAlignment="1" applyProtection="1">
      <alignment horizontal="center" vertical="center"/>
      <protection hidden="1"/>
    </xf>
    <xf numFmtId="2" fontId="7" fillId="13" borderId="42" xfId="5" applyNumberFormat="1" applyFill="1" applyBorder="1" applyAlignment="1" applyProtection="1">
      <alignment horizontal="center"/>
      <protection hidden="1"/>
    </xf>
    <xf numFmtId="0" fontId="20" fillId="12" borderId="5" xfId="5" applyFont="1" applyFill="1" applyBorder="1" applyAlignment="1" applyProtection="1">
      <alignment horizontal="left"/>
      <protection hidden="1"/>
    </xf>
    <xf numFmtId="0" fontId="7" fillId="12" borderId="7" xfId="5" applyFill="1" applyBorder="1" applyProtection="1">
      <protection hidden="1"/>
    </xf>
    <xf numFmtId="0" fontId="19" fillId="12" borderId="28" xfId="5" applyFont="1" applyFill="1" applyBorder="1" applyAlignment="1" applyProtection="1">
      <alignment horizontal="center" vertical="center"/>
      <protection hidden="1"/>
    </xf>
    <xf numFmtId="2" fontId="7" fillId="13" borderId="43" xfId="5" applyNumberFormat="1" applyFill="1" applyBorder="1" applyAlignment="1" applyProtection="1">
      <alignment horizontal="center"/>
      <protection hidden="1"/>
    </xf>
    <xf numFmtId="0" fontId="19" fillId="12" borderId="28" xfId="5" applyFont="1" applyFill="1" applyBorder="1" applyProtection="1">
      <protection hidden="1"/>
    </xf>
    <xf numFmtId="0" fontId="19" fillId="12" borderId="44" xfId="5" applyFont="1" applyFill="1" applyBorder="1" applyAlignment="1" applyProtection="1">
      <alignment horizontal="center" vertical="center"/>
      <protection hidden="1"/>
    </xf>
    <xf numFmtId="2" fontId="7" fillId="13" borderId="45" xfId="5" applyNumberFormat="1" applyFill="1" applyBorder="1" applyAlignment="1" applyProtection="1">
      <alignment horizontal="center"/>
      <protection hidden="1"/>
    </xf>
    <xf numFmtId="0" fontId="19" fillId="12" borderId="28" xfId="5" applyFont="1" applyFill="1" applyBorder="1" applyAlignment="1" applyProtection="1">
      <alignment horizontal="center"/>
      <protection hidden="1"/>
    </xf>
    <xf numFmtId="0" fontId="19" fillId="12" borderId="46" xfId="5" applyFont="1" applyFill="1" applyBorder="1" applyAlignment="1" applyProtection="1">
      <alignment horizontal="center"/>
      <protection hidden="1"/>
    </xf>
    <xf numFmtId="2" fontId="7" fillId="13" borderId="12" xfId="5" applyNumberFormat="1" applyFill="1" applyBorder="1" applyAlignment="1" applyProtection="1">
      <alignment horizontal="center"/>
      <protection hidden="1"/>
    </xf>
    <xf numFmtId="0" fontId="19" fillId="12" borderId="16" xfId="5" applyFont="1" applyFill="1" applyBorder="1" applyProtection="1">
      <protection hidden="1"/>
    </xf>
    <xf numFmtId="2" fontId="7" fillId="11" borderId="11" xfId="5" applyNumberFormat="1" applyFill="1" applyBorder="1" applyAlignment="1" applyProtection="1">
      <alignment horizontal="center"/>
      <protection hidden="1"/>
    </xf>
    <xf numFmtId="0" fontId="7" fillId="11" borderId="11" xfId="5" applyFill="1" applyBorder="1" applyAlignment="1" applyProtection="1">
      <alignment horizontal="center"/>
      <protection hidden="1"/>
    </xf>
    <xf numFmtId="0" fontId="15" fillId="12" borderId="23" xfId="5" applyFont="1" applyFill="1" applyBorder="1" applyAlignment="1" applyProtection="1">
      <alignment horizontal="center"/>
      <protection hidden="1"/>
    </xf>
    <xf numFmtId="0" fontId="15" fillId="12" borderId="42" xfId="5" applyFont="1" applyFill="1" applyBorder="1" applyAlignment="1" applyProtection="1">
      <alignment horizontal="center"/>
      <protection hidden="1"/>
    </xf>
    <xf numFmtId="2" fontId="7" fillId="13" borderId="16" xfId="5" applyNumberFormat="1" applyFill="1" applyBorder="1" applyAlignment="1" applyProtection="1">
      <alignment horizontal="center"/>
      <protection hidden="1"/>
    </xf>
    <xf numFmtId="0" fontId="11" fillId="11" borderId="0" xfId="5" applyFont="1" applyFill="1" applyProtection="1">
      <protection hidden="1"/>
    </xf>
    <xf numFmtId="0" fontId="18" fillId="12" borderId="2" xfId="5" applyFont="1" applyFill="1" applyBorder="1" applyAlignment="1" applyProtection="1">
      <alignment horizontal="center"/>
      <protection hidden="1"/>
    </xf>
    <xf numFmtId="1" fontId="7" fillId="13" borderId="47" xfId="5" applyNumberFormat="1" applyFill="1" applyBorder="1" applyAlignment="1" applyProtection="1">
      <alignment horizontal="center"/>
      <protection hidden="1"/>
    </xf>
    <xf numFmtId="1" fontId="7" fillId="13" borderId="15" xfId="5" applyNumberFormat="1" applyFill="1" applyBorder="1" applyAlignment="1" applyProtection="1">
      <alignment horizontal="center"/>
      <protection hidden="1"/>
    </xf>
    <xf numFmtId="0" fontId="18" fillId="12" borderId="48" xfId="5" applyFont="1" applyFill="1" applyBorder="1" applyAlignment="1" applyProtection="1">
      <alignment horizontal="center"/>
      <protection hidden="1"/>
    </xf>
    <xf numFmtId="1" fontId="7" fillId="13" borderId="1" xfId="5" applyNumberFormat="1" applyFill="1" applyBorder="1" applyAlignment="1" applyProtection="1">
      <alignment horizontal="center"/>
      <protection hidden="1"/>
    </xf>
    <xf numFmtId="1" fontId="7" fillId="13" borderId="32" xfId="5" applyNumberFormat="1" applyFill="1" applyBorder="1" applyAlignment="1" applyProtection="1">
      <alignment horizontal="center"/>
      <protection hidden="1"/>
    </xf>
    <xf numFmtId="0" fontId="18" fillId="12" borderId="34" xfId="5" applyFont="1" applyFill="1" applyBorder="1" applyAlignment="1" applyProtection="1">
      <alignment horizontal="center"/>
      <protection hidden="1"/>
    </xf>
    <xf numFmtId="1" fontId="7" fillId="13" borderId="35" xfId="5" applyNumberFormat="1" applyFill="1" applyBorder="1" applyAlignment="1" applyProtection="1">
      <alignment horizontal="center"/>
      <protection hidden="1"/>
    </xf>
    <xf numFmtId="1" fontId="7" fillId="13" borderId="18" xfId="5" applyNumberFormat="1" applyFill="1" applyBorder="1" applyAlignment="1" applyProtection="1">
      <alignment horizontal="center"/>
      <protection hidden="1"/>
    </xf>
    <xf numFmtId="0" fontId="0" fillId="14" borderId="1" xfId="0" applyFill="1" applyBorder="1"/>
    <xf numFmtId="0" fontId="4" fillId="6" borderId="0" xfId="0" applyFont="1" applyFill="1"/>
    <xf numFmtId="0" fontId="0" fillId="1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0" xfId="1" applyFont="1"/>
    <xf numFmtId="9" fontId="0" fillId="0" borderId="0" xfId="1" applyFont="1" applyFill="1"/>
    <xf numFmtId="1" fontId="0" fillId="14" borderId="1" xfId="0" applyNumberFormat="1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5" fillId="12" borderId="8" xfId="5" applyFont="1" applyFill="1" applyBorder="1" applyAlignment="1" applyProtection="1">
      <alignment horizontal="left" vertical="center" wrapText="1"/>
      <protection hidden="1"/>
    </xf>
    <xf numFmtId="0" fontId="15" fillId="12" borderId="20" xfId="5" applyFont="1" applyFill="1" applyBorder="1" applyAlignment="1" applyProtection="1">
      <alignment horizontal="left" vertical="center" wrapText="1"/>
      <protection hidden="1"/>
    </xf>
    <xf numFmtId="0" fontId="15" fillId="12" borderId="21" xfId="5" applyFont="1" applyFill="1" applyBorder="1" applyAlignment="1" applyProtection="1">
      <alignment horizontal="left" vertical="center" wrapText="1"/>
      <protection hidden="1"/>
    </xf>
    <xf numFmtId="0" fontId="11" fillId="12" borderId="5" xfId="5" applyFont="1" applyFill="1" applyBorder="1" applyAlignment="1" applyProtection="1">
      <alignment horizontal="left"/>
      <protection hidden="1"/>
    </xf>
    <xf numFmtId="0" fontId="11" fillId="12" borderId="7" xfId="5" applyFont="1" applyFill="1" applyBorder="1" applyAlignment="1" applyProtection="1">
      <alignment horizontal="left"/>
      <protection hidden="1"/>
    </xf>
    <xf numFmtId="0" fontId="0" fillId="15" borderId="1" xfId="0" applyFill="1" applyBorder="1" applyAlignment="1">
      <alignment horizontal="center"/>
    </xf>
    <xf numFmtId="164" fontId="0" fillId="0" borderId="0" xfId="0" applyNumberFormat="1"/>
    <xf numFmtId="164" fontId="0" fillId="2" borderId="0" xfId="0" applyNumberFormat="1" applyFill="1"/>
  </cellXfs>
  <cellStyles count="6">
    <cellStyle name="Millares 2" xfId="4" xr:uid="{22707F91-72FB-4143-8F01-40C8355F53FB}"/>
    <cellStyle name="Normal" xfId="0" builtinId="0"/>
    <cellStyle name="Normal 2" xfId="2" xr:uid="{B630C123-6A7C-4A38-9EE8-34EAA9BB7711}"/>
    <cellStyle name="Normal 2 2" xfId="3" xr:uid="{6DC975E4-F32B-4C08-A59D-A0FD30734A6F}"/>
    <cellStyle name="Normal 3" xfId="5" xr:uid="{89614E5D-350C-421E-BF82-C774000696F6}"/>
    <cellStyle name="Porcentaje" xfId="1" builtinId="5"/>
  </cellStyles>
  <dxfs count="54"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70491803278687E-2"/>
          <c:y val="8.6956726856711519E-2"/>
          <c:w val="0.81762295081967218"/>
          <c:h val="0.7729486831707691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CINEANTROPOMETRÍA!$I$43</c:f>
              <c:numCache>
                <c:formatCode>0.00</c:formatCode>
                <c:ptCount val="1"/>
                <c:pt idx="0">
                  <c:v>-1.7813622826122635</c:v>
                </c:pt>
              </c:numCache>
            </c:numRef>
          </c:xVal>
          <c:yVal>
            <c:numRef>
              <c:f>CINEANTROPOMETRÍA!$J$43</c:f>
              <c:numCache>
                <c:formatCode>0.00</c:formatCode>
                <c:ptCount val="1"/>
                <c:pt idx="0">
                  <c:v>13.24605204474404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23-4DEF-90AC-1357B4DD5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864696"/>
        <c:axId val="293865088"/>
      </c:scatterChart>
      <c:valAx>
        <c:axId val="293864696"/>
        <c:scaling>
          <c:orientation val="minMax"/>
          <c:max val="8"/>
          <c:min val="-8"/>
        </c:scaling>
        <c:delete val="0"/>
        <c:axPos val="b"/>
        <c:numFmt formatCode="0.00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293865088"/>
        <c:crossesAt val="-12"/>
        <c:crossBetween val="midCat"/>
        <c:majorUnit val="2"/>
        <c:minorUnit val="1"/>
      </c:valAx>
      <c:valAx>
        <c:axId val="2938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293864696"/>
        <c:crossesAt val="8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22" fmlaLink="$A$4" fmlaRange="$A$1:$A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49</xdr:row>
      <xdr:rowOff>123825</xdr:rowOff>
    </xdr:from>
    <xdr:to>
      <xdr:col>9</xdr:col>
      <xdr:colOff>361950</xdr:colOff>
      <xdr:row>72</xdr:row>
      <xdr:rowOff>123825</xdr:rowOff>
    </xdr:to>
    <xdr:graphicFrame macro="">
      <xdr:nvGraphicFramePr>
        <xdr:cNvPr id="2" name="Gráfico 7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</xdr:row>
      <xdr:rowOff>171450</xdr:rowOff>
    </xdr:from>
    <xdr:to>
      <xdr:col>9</xdr:col>
      <xdr:colOff>400050</xdr:colOff>
      <xdr:row>4</xdr:row>
      <xdr:rowOff>66675</xdr:rowOff>
    </xdr:to>
    <xdr:sp macro="" textlink="" fLocksText="0">
      <xdr:nvSpPr>
        <xdr:cNvPr id="3" name="Text Box 10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45745" y="986790"/>
          <a:ext cx="4794885" cy="16954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y apellidos: J</a:t>
          </a:r>
          <a:endParaRPr lang="es-E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15240</xdr:colOff>
          <xdr:row>11</xdr:row>
          <xdr:rowOff>0</xdr:rowOff>
        </xdr:from>
        <xdr:to>
          <xdr:col>9</xdr:col>
          <xdr:colOff>0</xdr:colOff>
          <xdr:row>11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0.07744</cdr:x>
      <cdr:y>0.71572</cdr:y>
    </cdr:from>
    <cdr:to>
      <cdr:x>0.27238</cdr:x>
      <cdr:y>0.76711</cdr:y>
    </cdr:to>
    <cdr:sp macro="" textlink="">
      <cdr:nvSpPr>
        <cdr:cNvPr id="15361" name="Text Box 1">
          <a:extLst xmlns:a="http://schemas.openxmlformats.org/drawingml/2006/main">
            <a:ext uri="{FF2B5EF4-FFF2-40B4-BE49-F238E27FC236}">
              <a16:creationId xmlns:a16="http://schemas.microsoft.com/office/drawing/2014/main" id="{767DBF68-2B29-4A0A-B357-6601A2D3D6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944" y="2822317"/>
          <a:ext cx="906145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ENDOMORFIA</a:t>
          </a:r>
          <a:endParaRPr lang="es-ES"/>
        </a:p>
      </cdr:txBody>
    </cdr:sp>
  </cdr:relSizeAnchor>
  <cdr:relSizeAnchor xmlns:cdr="http://schemas.openxmlformats.org/drawingml/2006/chartDrawing">
    <cdr:from>
      <cdr:x>0.67992</cdr:x>
      <cdr:y>0.73719</cdr:y>
    </cdr:from>
    <cdr:to>
      <cdr:x>0.87181</cdr:x>
      <cdr:y>0.78858</cdr:y>
    </cdr:to>
    <cdr:sp macro="" textlink="">
      <cdr:nvSpPr>
        <cdr:cNvPr id="15362" name="Text Box 2">
          <a:extLst xmlns:a="http://schemas.openxmlformats.org/drawingml/2006/main">
            <a:ext uri="{FF2B5EF4-FFF2-40B4-BE49-F238E27FC236}">
              <a16:creationId xmlns:a16="http://schemas.microsoft.com/office/drawing/2014/main" id="{CF19460D-5F2A-448E-9DD2-A2A0F2770E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0420" y="2906981"/>
          <a:ext cx="891911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ECTOMORFIA</a:t>
          </a:r>
          <a:endParaRPr lang="es-ES"/>
        </a:p>
      </cdr:txBody>
    </cdr:sp>
  </cdr:relSizeAnchor>
  <cdr:relSizeAnchor xmlns:cdr="http://schemas.openxmlformats.org/drawingml/2006/chartDrawing">
    <cdr:from>
      <cdr:x>0.28347</cdr:x>
      <cdr:y>0.02746</cdr:y>
    </cdr:from>
    <cdr:to>
      <cdr:x>0.47997</cdr:x>
      <cdr:y>0.07886</cdr:y>
    </cdr:to>
    <cdr:sp macro="" textlink="">
      <cdr:nvSpPr>
        <cdr:cNvPr id="15363" name="Text Box 3">
          <a:extLst xmlns:a="http://schemas.openxmlformats.org/drawingml/2006/main">
            <a:ext uri="{FF2B5EF4-FFF2-40B4-BE49-F238E27FC236}">
              <a16:creationId xmlns:a16="http://schemas.microsoft.com/office/drawing/2014/main" id="{BB914AF1-0499-4D79-A6F3-B72ECACFC2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7647" y="108287"/>
          <a:ext cx="913327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MESOMORFIA</a:t>
          </a:r>
          <a:endParaRPr lang="es-ES"/>
        </a:p>
      </cdr:txBody>
    </cdr:sp>
  </cdr:relSizeAnchor>
  <cdr:relSizeAnchor xmlns:cdr="http://schemas.openxmlformats.org/drawingml/2006/chartDrawing">
    <cdr:from>
      <cdr:x>0.48335</cdr:x>
      <cdr:y>0.08402</cdr:y>
    </cdr:from>
    <cdr:to>
      <cdr:x>0.48335</cdr:x>
      <cdr:y>0.77301</cdr:y>
    </cdr:to>
    <cdr:sp macro="" textlink="">
      <cdr:nvSpPr>
        <cdr:cNvPr id="15364" name="Line 4">
          <a:extLst xmlns:a="http://schemas.openxmlformats.org/drawingml/2006/main">
            <a:ext uri="{FF2B5EF4-FFF2-40B4-BE49-F238E27FC236}">
              <a16:creationId xmlns:a16="http://schemas.microsoft.com/office/drawing/2014/main" id="{5E59FE28-D47D-454C-8190-0920ED4474FD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54475" y="335300"/>
          <a:ext cx="0" cy="27234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0.1765</cdr:x>
      <cdr:y>0.32678</cdr:y>
    </cdr:from>
    <cdr:to>
      <cdr:x>0.71501</cdr:x>
      <cdr:y>0.67127</cdr:y>
    </cdr:to>
    <cdr:sp macro="" textlink="">
      <cdr:nvSpPr>
        <cdr:cNvPr id="15365" name="Line 5">
          <a:extLst xmlns:a="http://schemas.openxmlformats.org/drawingml/2006/main">
            <a:ext uri="{FF2B5EF4-FFF2-40B4-BE49-F238E27FC236}">
              <a16:creationId xmlns:a16="http://schemas.microsoft.com/office/drawing/2014/main" id="{CC551552-313A-4766-8E59-3196AE7B618A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5280" y="1294884"/>
          <a:ext cx="2508221" cy="13617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0.23356</cdr:x>
      <cdr:y>0.32678</cdr:y>
    </cdr:from>
    <cdr:to>
      <cdr:x>0.79093</cdr:x>
      <cdr:y>0.66981</cdr:y>
    </cdr:to>
    <cdr:sp macro="" textlink="">
      <cdr:nvSpPr>
        <cdr:cNvPr id="15371" name="Line 11">
          <a:extLst xmlns:a="http://schemas.openxmlformats.org/drawingml/2006/main">
            <a:ext uri="{FF2B5EF4-FFF2-40B4-BE49-F238E27FC236}">
              <a16:creationId xmlns:a16="http://schemas.microsoft.com/office/drawing/2014/main" id="{76A4174A-34CD-43F7-B7C3-853DBFBA2C1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91044" y="1294884"/>
          <a:ext cx="2596049" cy="13559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0.01341</cdr:x>
      <cdr:y>0.92476</cdr:y>
    </cdr:from>
    <cdr:to>
      <cdr:x>0.05626</cdr:x>
      <cdr:y>0.98746</cdr:y>
    </cdr:to>
    <cdr:sp macro="" textlink="">
      <cdr:nvSpPr>
        <cdr:cNvPr id="15372" name="Text Box 12">
          <a:extLst xmlns:a="http://schemas.openxmlformats.org/drawingml/2006/main">
            <a:ext uri="{FF2B5EF4-FFF2-40B4-BE49-F238E27FC236}">
              <a16:creationId xmlns:a16="http://schemas.microsoft.com/office/drawing/2014/main" id="{B7E3429F-1AFD-458A-9BCF-2FF1149F05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8" y="3658644"/>
          <a:ext cx="199608" cy="247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Comic Sans MS"/>
            </a:rPr>
            <a:t>X</a:t>
          </a:r>
          <a:endParaRPr lang="es-ES"/>
        </a:p>
      </cdr:txBody>
    </cdr:sp>
  </cdr:relSizeAnchor>
  <cdr:relSizeAnchor xmlns:cdr="http://schemas.openxmlformats.org/drawingml/2006/chartDrawing">
    <cdr:from>
      <cdr:x>0.95231</cdr:x>
      <cdr:y>0.01042</cdr:y>
    </cdr:from>
    <cdr:to>
      <cdr:x>0.98439</cdr:x>
      <cdr:y>0.08126</cdr:y>
    </cdr:to>
    <cdr:sp macro="" textlink="">
      <cdr:nvSpPr>
        <cdr:cNvPr id="15373" name="Text Box 13">
          <a:extLst xmlns:a="http://schemas.openxmlformats.org/drawingml/2006/main">
            <a:ext uri="{FF2B5EF4-FFF2-40B4-BE49-F238E27FC236}">
              <a16:creationId xmlns:a16="http://schemas.microsoft.com/office/drawing/2014/main" id="{00624180-8193-4448-ABB4-E291004D11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6544" y="41077"/>
          <a:ext cx="149080" cy="279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Comic Sans MS"/>
            </a:rPr>
            <a:t>Y</a:t>
          </a:r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C9BB-3AC1-44D1-87AB-1C2F97F78873}">
  <dimension ref="A1:G19"/>
  <sheetViews>
    <sheetView zoomScaleNormal="100" workbookViewId="0">
      <selection activeCell="D6" sqref="D6"/>
    </sheetView>
  </sheetViews>
  <sheetFormatPr baseColWidth="10" defaultRowHeight="14.4"/>
  <cols>
    <col min="1" max="1" width="29.77734375" customWidth="1"/>
  </cols>
  <sheetData>
    <row r="1" spans="1:7" ht="15.6">
      <c r="B1" s="2" t="s">
        <v>0</v>
      </c>
      <c r="C1" s="2" t="s">
        <v>1</v>
      </c>
      <c r="D1" s="2" t="s">
        <v>4</v>
      </c>
      <c r="E1" s="4"/>
      <c r="F1" s="4"/>
      <c r="G1" s="4"/>
    </row>
    <row r="2" spans="1:7" ht="15.6">
      <c r="A2" s="1" t="s">
        <v>2</v>
      </c>
      <c r="B2" s="3" t="s">
        <v>3</v>
      </c>
      <c r="C2" s="3" t="s">
        <v>3</v>
      </c>
      <c r="D2" s="3" t="s">
        <v>3</v>
      </c>
      <c r="E2" s="9" t="s">
        <v>8</v>
      </c>
      <c r="F2" s="9" t="s">
        <v>7</v>
      </c>
      <c r="G2" s="5"/>
    </row>
    <row r="3" spans="1:7">
      <c r="A3" t="s">
        <v>13</v>
      </c>
      <c r="B3" s="1">
        <v>35</v>
      </c>
      <c r="C3" s="1">
        <v>37</v>
      </c>
      <c r="D3" s="1">
        <v>35</v>
      </c>
      <c r="E3" s="12">
        <f>AVERAGE(B3:D3)</f>
        <v>35.666666666666664</v>
      </c>
      <c r="F3" s="10">
        <f>STDEV(B3:D3)/E3</f>
        <v>3.2374781449885565E-2</v>
      </c>
    </row>
    <row r="4" spans="1:7">
      <c r="A4" s="1" t="s">
        <v>14</v>
      </c>
      <c r="B4" s="1">
        <v>51.6</v>
      </c>
      <c r="C4" s="1">
        <v>56.8</v>
      </c>
      <c r="D4" s="1">
        <v>54.6</v>
      </c>
      <c r="E4" s="12">
        <f t="shared" ref="E4:E18" si="0">AVERAGE(B4:D4)</f>
        <v>54.333333333333336</v>
      </c>
      <c r="F4" s="10">
        <f t="shared" ref="F4:F18" si="1">STDEV(B4:D4)/E4</f>
        <v>4.8041158160618103E-2</v>
      </c>
    </row>
    <row r="5" spans="1:7">
      <c r="A5" t="s">
        <v>15</v>
      </c>
      <c r="B5" s="1">
        <v>39.9</v>
      </c>
      <c r="C5" s="1">
        <v>40.4</v>
      </c>
      <c r="D5" s="1">
        <v>40.4</v>
      </c>
      <c r="E5" s="12">
        <f t="shared" si="0"/>
        <v>40.233333333333327</v>
      </c>
      <c r="F5" s="10">
        <f t="shared" si="1"/>
        <v>7.1750240578661055E-3</v>
      </c>
    </row>
    <row r="6" spans="1:7">
      <c r="A6" s="1" t="s">
        <v>16</v>
      </c>
      <c r="B6" s="1">
        <v>33.299999999999997</v>
      </c>
      <c r="C6" s="1">
        <v>32.4</v>
      </c>
      <c r="D6" s="1">
        <v>29.3</v>
      </c>
      <c r="E6" s="12">
        <f t="shared" si="0"/>
        <v>31.666666666666661</v>
      </c>
      <c r="F6" s="10">
        <f t="shared" si="1"/>
        <v>6.6265645202261608E-2</v>
      </c>
    </row>
    <row r="7" spans="1:7">
      <c r="A7" t="s">
        <v>17</v>
      </c>
      <c r="B7" s="1">
        <v>33.4</v>
      </c>
      <c r="C7" s="1">
        <v>38.5</v>
      </c>
      <c r="D7" s="1">
        <v>38.799999999999997</v>
      </c>
      <c r="E7" s="12">
        <f t="shared" si="0"/>
        <v>36.9</v>
      </c>
      <c r="F7" s="10">
        <f t="shared" si="1"/>
        <v>8.2243853146306334E-2</v>
      </c>
    </row>
    <row r="8" spans="1:7">
      <c r="A8" s="1" t="s">
        <v>18</v>
      </c>
      <c r="B8" s="1">
        <v>33.9</v>
      </c>
      <c r="C8" s="1">
        <v>39.1</v>
      </c>
      <c r="D8" s="1">
        <v>39.1</v>
      </c>
      <c r="E8" s="12">
        <f t="shared" si="0"/>
        <v>37.366666666666667</v>
      </c>
      <c r="F8" s="10">
        <f t="shared" si="1"/>
        <v>8.0344908112026478E-2</v>
      </c>
    </row>
    <row r="9" spans="1:7">
      <c r="A9" t="s">
        <v>19</v>
      </c>
      <c r="B9" s="1">
        <v>42.2</v>
      </c>
      <c r="C9" s="1">
        <v>39.9</v>
      </c>
      <c r="D9" s="1">
        <v>44.6</v>
      </c>
      <c r="E9" s="12">
        <f t="shared" si="0"/>
        <v>42.233333333333327</v>
      </c>
      <c r="F9" s="10">
        <f t="shared" si="1"/>
        <v>5.5647449840796642E-2</v>
      </c>
    </row>
    <row r="10" spans="1:7">
      <c r="A10" s="1" t="s">
        <v>20</v>
      </c>
      <c r="B10" s="1">
        <v>43.7</v>
      </c>
      <c r="C10" s="1">
        <v>43.7</v>
      </c>
      <c r="D10" s="1">
        <v>44.4</v>
      </c>
      <c r="E10" s="12">
        <f t="shared" si="0"/>
        <v>43.933333333333337</v>
      </c>
      <c r="F10" s="10">
        <f t="shared" si="1"/>
        <v>9.1990558823839656E-3</v>
      </c>
    </row>
    <row r="11" spans="1:7">
      <c r="A11" t="s">
        <v>21</v>
      </c>
      <c r="B11" s="1">
        <v>26.1</v>
      </c>
      <c r="C11" s="1">
        <v>26.2</v>
      </c>
      <c r="D11" s="1">
        <v>26.3</v>
      </c>
      <c r="E11" s="12">
        <f t="shared" si="0"/>
        <v>26.2</v>
      </c>
      <c r="F11" s="10">
        <f t="shared" si="1"/>
        <v>3.8167938931297574E-3</v>
      </c>
    </row>
    <row r="12" spans="1:7">
      <c r="A12" s="1" t="s">
        <v>22</v>
      </c>
      <c r="B12" s="1">
        <v>48.5</v>
      </c>
      <c r="C12" s="1">
        <v>48.5</v>
      </c>
      <c r="D12" s="1">
        <v>52.5</v>
      </c>
      <c r="E12" s="12">
        <f t="shared" si="0"/>
        <v>49.833333333333336</v>
      </c>
      <c r="F12" s="10">
        <f t="shared" si="1"/>
        <v>4.6342496523581994E-2</v>
      </c>
    </row>
    <row r="13" spans="1:7">
      <c r="A13" t="s">
        <v>23</v>
      </c>
      <c r="B13" s="1">
        <v>23.8</v>
      </c>
      <c r="C13" s="1">
        <v>22.8</v>
      </c>
      <c r="D13" s="1">
        <v>22.6</v>
      </c>
      <c r="E13" s="12">
        <f t="shared" si="0"/>
        <v>23.066666666666666</v>
      </c>
      <c r="F13" s="10">
        <f t="shared" si="1"/>
        <v>2.787182300865015E-2</v>
      </c>
    </row>
    <row r="14" spans="1:7">
      <c r="A14" s="1" t="s">
        <v>24</v>
      </c>
      <c r="B14" s="1">
        <v>44.9</v>
      </c>
      <c r="C14" s="1">
        <v>44.4</v>
      </c>
      <c r="D14" s="1">
        <v>43.8</v>
      </c>
      <c r="E14" s="12">
        <f t="shared" si="0"/>
        <v>44.366666666666667</v>
      </c>
      <c r="F14" s="10">
        <f t="shared" si="1"/>
        <v>1.241375780755697E-2</v>
      </c>
    </row>
    <row r="15" spans="1:7">
      <c r="A15" t="s">
        <v>25</v>
      </c>
      <c r="B15" s="1">
        <v>36</v>
      </c>
      <c r="C15" s="1">
        <v>37.6</v>
      </c>
      <c r="D15" s="1">
        <v>37.5</v>
      </c>
      <c r="E15" s="12">
        <f t="shared" si="0"/>
        <v>37.033333333333331</v>
      </c>
      <c r="F15" s="10">
        <f t="shared" si="1"/>
        <v>2.420221360890866E-2</v>
      </c>
    </row>
    <row r="16" spans="1:7">
      <c r="A16" s="1" t="s">
        <v>26</v>
      </c>
      <c r="B16" s="1">
        <v>31</v>
      </c>
      <c r="C16" s="1">
        <v>32.4</v>
      </c>
      <c r="D16" s="1">
        <v>30.6</v>
      </c>
      <c r="E16" s="12">
        <f t="shared" si="0"/>
        <v>31.333333333333332</v>
      </c>
      <c r="F16" s="10">
        <f t="shared" si="1"/>
        <v>3.0164780593101712E-2</v>
      </c>
    </row>
    <row r="17" spans="1:7">
      <c r="A17" t="s">
        <v>27</v>
      </c>
      <c r="B17" s="1">
        <v>39</v>
      </c>
      <c r="C17" s="1">
        <v>35.299999999999997</v>
      </c>
      <c r="D17" s="1">
        <v>34.5</v>
      </c>
      <c r="E17" s="12">
        <f t="shared" si="0"/>
        <v>36.266666666666666</v>
      </c>
      <c r="F17" s="10">
        <f t="shared" si="1"/>
        <v>6.6195616103054578E-2</v>
      </c>
    </row>
    <row r="18" spans="1:7">
      <c r="A18" s="1" t="s">
        <v>28</v>
      </c>
      <c r="B18" s="1">
        <v>42.5</v>
      </c>
      <c r="C18" s="1">
        <v>37.6</v>
      </c>
      <c r="D18" s="1">
        <v>41.5</v>
      </c>
      <c r="E18" s="12">
        <f t="shared" si="0"/>
        <v>40.533333333333331</v>
      </c>
      <c r="F18" s="10">
        <f t="shared" si="1"/>
        <v>6.3875319832669017E-2</v>
      </c>
    </row>
    <row r="19" spans="1:7" ht="28.8">
      <c r="A19" s="7"/>
      <c r="B19" s="8"/>
      <c r="C19" s="8"/>
      <c r="D19" s="8"/>
      <c r="E19" s="11" t="s">
        <v>7</v>
      </c>
      <c r="F19" s="11">
        <f>AVERAGE(F3:F18)</f>
        <v>4.101091732642486E-2</v>
      </c>
      <c r="G19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18EF-7BE2-4486-8852-C6EEA6A1D4E1}">
  <dimension ref="A1:L12"/>
  <sheetViews>
    <sheetView zoomScaleNormal="100" workbookViewId="0">
      <pane ySplit="1" topLeftCell="A2" activePane="bottomLeft" state="frozen"/>
      <selection pane="bottomLeft" activeCell="G21" sqref="G21"/>
    </sheetView>
  </sheetViews>
  <sheetFormatPr baseColWidth="10" defaultRowHeight="14.4"/>
  <cols>
    <col min="1" max="2" width="29.5546875" customWidth="1"/>
    <col min="4" max="4" width="13.109375" bestFit="1" customWidth="1"/>
    <col min="5" max="10" width="13.109375" customWidth="1"/>
    <col min="12" max="12" width="13.5546875" bestFit="1" customWidth="1"/>
  </cols>
  <sheetData>
    <row r="1" spans="1:12">
      <c r="A1" s="13" t="s">
        <v>2</v>
      </c>
      <c r="B1" s="13" t="s">
        <v>29</v>
      </c>
      <c r="C1" s="13" t="s">
        <v>30</v>
      </c>
      <c r="D1" s="13" t="s">
        <v>31</v>
      </c>
      <c r="E1" s="13" t="s">
        <v>32</v>
      </c>
      <c r="F1" s="13" t="s">
        <v>33</v>
      </c>
      <c r="G1" s="13" t="s">
        <v>34</v>
      </c>
      <c r="H1" s="13" t="s">
        <v>35</v>
      </c>
      <c r="I1" s="13" t="s">
        <v>43</v>
      </c>
      <c r="J1" s="13" t="s">
        <v>36</v>
      </c>
      <c r="K1" s="13" t="s">
        <v>37</v>
      </c>
      <c r="L1" s="13" t="s">
        <v>38</v>
      </c>
    </row>
    <row r="2" spans="1:12">
      <c r="A2" s="1" t="s">
        <v>11</v>
      </c>
      <c r="B2" s="1" t="s">
        <v>39</v>
      </c>
      <c r="C2" s="16">
        <v>196</v>
      </c>
      <c r="D2" s="19">
        <f t="shared" ref="D2" si="0">K2/(1.0278-0.0278*L2)</f>
        <v>227.05919198246161</v>
      </c>
      <c r="E2" s="19">
        <f t="shared" ref="E2" si="1">(1+0.03333*L2)*K2</f>
        <v>212.65989999999999</v>
      </c>
      <c r="F2" s="19">
        <f t="shared" ref="F2" si="2">100*K2/(101.3-2.67123*L2)</f>
        <v>226.90718619753318</v>
      </c>
      <c r="G2" s="19">
        <f t="shared" ref="G2" si="3">K2* L2^0.1</f>
        <v>188.79079087603282</v>
      </c>
      <c r="H2" s="19">
        <f t="shared" ref="H2" si="4">100*K2/(52.2+41.9*EXP(-0.055*L2))</f>
        <v>202.51326627600668</v>
      </c>
      <c r="I2" s="19">
        <f t="shared" ref="I2" si="5">K2*(1+0.025*L2)</f>
        <v>195.75</v>
      </c>
      <c r="J2" s="19">
        <f t="shared" ref="J2" si="6">100*K2/(48.8+53.8*EXP(-0.075*L2))</f>
        <v>214.41251054963223</v>
      </c>
      <c r="K2" s="14">
        <v>145</v>
      </c>
      <c r="L2" s="14">
        <v>14</v>
      </c>
    </row>
    <row r="3" spans="1:12">
      <c r="A3" s="1" t="s">
        <v>12</v>
      </c>
      <c r="B3" s="1" t="s">
        <v>39</v>
      </c>
      <c r="C3" s="16">
        <v>138</v>
      </c>
      <c r="D3" s="19">
        <f t="shared" ref="D3:D10" si="7">K3/(1.0278-0.0278*L3)</f>
        <v>141.62265962554008</v>
      </c>
      <c r="E3" s="19">
        <f t="shared" ref="E3:E10" si="8">(1+0.03333*L3)*K3</f>
        <v>145.53057999999999</v>
      </c>
      <c r="F3" s="19">
        <f t="shared" ref="F3:F10" si="9">100*K3/(101.3-2.67123*L3)</f>
        <v>142.85473888514468</v>
      </c>
      <c r="G3" s="19">
        <f t="shared" ref="G3:G10" si="10">K3* L3^0.1</f>
        <v>143.34805719660989</v>
      </c>
      <c r="H3" s="19">
        <f t="shared" ref="H3:H10" si="11">100*K3/(52.2+41.9*EXP(-0.055*L3))</f>
        <v>146.20085616399231</v>
      </c>
      <c r="I3" s="19">
        <f t="shared" ref="I3:I10" si="12">K3*(1+0.025*L3)</f>
        <v>138.65</v>
      </c>
      <c r="J3" s="19">
        <f t="shared" ref="J3:J10" si="13">100*K3/(48.8+53.8*EXP(-0.075*L3))</f>
        <v>146.35535730635698</v>
      </c>
      <c r="K3" s="14">
        <v>118</v>
      </c>
      <c r="L3" s="14">
        <v>7</v>
      </c>
    </row>
    <row r="4" spans="1:12">
      <c r="A4" s="1" t="s">
        <v>10</v>
      </c>
      <c r="B4" s="1" t="s">
        <v>39</v>
      </c>
      <c r="C4" s="16">
        <v>203</v>
      </c>
      <c r="D4" s="19">
        <f t="shared" si="7"/>
        <v>217.39130434782609</v>
      </c>
      <c r="E4" s="19">
        <f t="shared" si="8"/>
        <v>217.3279</v>
      </c>
      <c r="F4" s="19">
        <f t="shared" si="9"/>
        <v>218.53469137672835</v>
      </c>
      <c r="G4" s="19">
        <f t="shared" si="10"/>
        <v>205.20484212244926</v>
      </c>
      <c r="H4" s="19">
        <f t="shared" si="11"/>
        <v>213.42286568687641</v>
      </c>
      <c r="I4" s="19">
        <f t="shared" si="12"/>
        <v>203.75</v>
      </c>
      <c r="J4" s="19">
        <f t="shared" si="13"/>
        <v>219.63712015514719</v>
      </c>
      <c r="K4" s="14">
        <v>163</v>
      </c>
      <c r="L4" s="14">
        <v>10</v>
      </c>
    </row>
    <row r="5" spans="1:12">
      <c r="A5" s="1" t="s">
        <v>6</v>
      </c>
      <c r="B5" s="1" t="s">
        <v>39</v>
      </c>
      <c r="C5" s="16">
        <v>177</v>
      </c>
      <c r="D5" s="19">
        <f t="shared" si="7"/>
        <v>186.47119341563786</v>
      </c>
      <c r="E5" s="19">
        <f t="shared" si="8"/>
        <v>188.49565000000001</v>
      </c>
      <c r="F5" s="19">
        <f t="shared" si="9"/>
        <v>187.68056974125841</v>
      </c>
      <c r="G5" s="19">
        <f t="shared" si="10"/>
        <v>180.63098624425001</v>
      </c>
      <c r="H5" s="19">
        <f t="shared" si="11"/>
        <v>186.51671679316925</v>
      </c>
      <c r="I5" s="19">
        <f t="shared" si="12"/>
        <v>177.625</v>
      </c>
      <c r="J5" s="19">
        <f t="shared" si="13"/>
        <v>190.30715665052261</v>
      </c>
      <c r="K5" s="14">
        <v>145</v>
      </c>
      <c r="L5" s="14">
        <v>9</v>
      </c>
    </row>
    <row r="6" spans="1:12">
      <c r="A6" s="1" t="s">
        <v>40</v>
      </c>
      <c r="B6" s="1" t="s">
        <v>39</v>
      </c>
      <c r="C6" s="16">
        <v>181</v>
      </c>
      <c r="D6" s="19">
        <f t="shared" si="7"/>
        <v>193.38490264070418</v>
      </c>
      <c r="E6" s="19">
        <f t="shared" si="8"/>
        <v>193.32849999999999</v>
      </c>
      <c r="F6" s="19">
        <f t="shared" si="9"/>
        <v>194.40202607132275</v>
      </c>
      <c r="G6" s="19">
        <f t="shared" si="10"/>
        <v>182.54418471015427</v>
      </c>
      <c r="H6" s="19">
        <f t="shared" si="11"/>
        <v>189.85469646992073</v>
      </c>
      <c r="I6" s="19">
        <f t="shared" si="12"/>
        <v>181.25</v>
      </c>
      <c r="J6" s="19">
        <f t="shared" si="13"/>
        <v>195.38271424844382</v>
      </c>
      <c r="K6" s="14">
        <v>145</v>
      </c>
      <c r="L6" s="14">
        <v>10</v>
      </c>
    </row>
    <row r="7" spans="1:12">
      <c r="A7" s="1" t="s">
        <v>9</v>
      </c>
      <c r="B7" s="1" t="s">
        <v>39</v>
      </c>
      <c r="C7" s="16">
        <v>199</v>
      </c>
      <c r="D7" s="19">
        <f t="shared" si="7"/>
        <v>209.61934156378598</v>
      </c>
      <c r="E7" s="19">
        <f t="shared" si="8"/>
        <v>211.89511000000002</v>
      </c>
      <c r="F7" s="19">
        <f t="shared" si="9"/>
        <v>210.97884736431118</v>
      </c>
      <c r="G7" s="19">
        <f t="shared" si="10"/>
        <v>203.05414315732935</v>
      </c>
      <c r="H7" s="19">
        <f t="shared" si="11"/>
        <v>209.67051611921784</v>
      </c>
      <c r="I7" s="19">
        <f t="shared" si="12"/>
        <v>199.67500000000001</v>
      </c>
      <c r="J7" s="19">
        <f t="shared" si="13"/>
        <v>213.93149333817371</v>
      </c>
      <c r="K7" s="14">
        <v>163</v>
      </c>
      <c r="L7" s="14">
        <v>9</v>
      </c>
    </row>
    <row r="8" spans="1:12">
      <c r="A8" s="1" t="s">
        <v>41</v>
      </c>
      <c r="B8" s="1" t="s">
        <v>39</v>
      </c>
      <c r="C8" s="16">
        <v>152</v>
      </c>
      <c r="D8" s="19">
        <f t="shared" si="7"/>
        <v>157.6856220511547</v>
      </c>
      <c r="E8" s="19">
        <f t="shared" si="8"/>
        <v>160.86328</v>
      </c>
      <c r="F8" s="19">
        <f t="shared" si="9"/>
        <v>158.88870984369353</v>
      </c>
      <c r="G8" s="19">
        <f t="shared" si="10"/>
        <v>156.35534049480438</v>
      </c>
      <c r="H8" s="19">
        <f t="shared" si="11"/>
        <v>160.38365580225224</v>
      </c>
      <c r="I8" s="19">
        <f t="shared" si="12"/>
        <v>152.4</v>
      </c>
      <c r="J8" s="19">
        <f t="shared" si="13"/>
        <v>162.14270223217625</v>
      </c>
      <c r="K8" s="14">
        <v>127</v>
      </c>
      <c r="L8" s="14">
        <v>8</v>
      </c>
    </row>
    <row r="9" spans="1:12">
      <c r="A9" s="1" t="s">
        <v>42</v>
      </c>
      <c r="B9" s="1" t="s">
        <v>39</v>
      </c>
      <c r="C9" s="16">
        <v>159</v>
      </c>
      <c r="D9" s="19">
        <f t="shared" si="7"/>
        <v>163.22611617858857</v>
      </c>
      <c r="E9" s="19">
        <f t="shared" si="8"/>
        <v>167.73015999999998</v>
      </c>
      <c r="F9" s="19">
        <f t="shared" si="9"/>
        <v>164.64613973203114</v>
      </c>
      <c r="G9" s="19">
        <f t="shared" si="10"/>
        <v>165.21470998931309</v>
      </c>
      <c r="H9" s="19">
        <f t="shared" si="11"/>
        <v>168.5026816805335</v>
      </c>
      <c r="I9" s="19">
        <f t="shared" si="12"/>
        <v>159.80000000000001</v>
      </c>
      <c r="J9" s="19">
        <f t="shared" si="13"/>
        <v>168.68075079376737</v>
      </c>
      <c r="K9" s="14">
        <v>136</v>
      </c>
      <c r="L9" s="14">
        <v>7</v>
      </c>
    </row>
    <row r="10" spans="1:12">
      <c r="A10" s="1" t="s">
        <v>5</v>
      </c>
      <c r="B10" s="1" t="s">
        <v>39</v>
      </c>
      <c r="C10" s="16">
        <v>156</v>
      </c>
      <c r="D10" s="19">
        <f t="shared" si="7"/>
        <v>157.95586527293844</v>
      </c>
      <c r="E10" s="19">
        <f t="shared" si="8"/>
        <v>163.19728000000001</v>
      </c>
      <c r="F10" s="19">
        <f t="shared" si="9"/>
        <v>159.48847355692837</v>
      </c>
      <c r="G10" s="19">
        <f t="shared" si="10"/>
        <v>162.6874430437789</v>
      </c>
      <c r="H10" s="19">
        <f t="shared" si="11"/>
        <v>165.20311198971891</v>
      </c>
      <c r="I10" s="19">
        <f t="shared" si="12"/>
        <v>156.39999999999998</v>
      </c>
      <c r="J10" s="19">
        <f t="shared" si="13"/>
        <v>163.64958883890108</v>
      </c>
      <c r="K10" s="14">
        <v>136</v>
      </c>
      <c r="L10" s="14">
        <v>6</v>
      </c>
    </row>
    <row r="11" spans="1:12" ht="15.6">
      <c r="B11" s="9" t="s">
        <v>8</v>
      </c>
      <c r="C11" s="18">
        <f>AVERAGE(C2:C10)</f>
        <v>173.44444444444446</v>
      </c>
      <c r="D11" s="18">
        <f t="shared" ref="D11:J11" si="14">AVERAGE(D2:D10)</f>
        <v>183.82402189762641</v>
      </c>
      <c r="E11" s="18">
        <f t="shared" si="14"/>
        <v>184.55870666666669</v>
      </c>
      <c r="F11" s="18">
        <f t="shared" si="14"/>
        <v>184.9312647521057</v>
      </c>
      <c r="G11" s="18">
        <f t="shared" si="14"/>
        <v>176.42561087052465</v>
      </c>
      <c r="H11" s="18">
        <f t="shared" si="14"/>
        <v>182.47426299796533</v>
      </c>
      <c r="I11" s="18">
        <f t="shared" si="14"/>
        <v>173.92222222222225</v>
      </c>
      <c r="J11" s="18">
        <f t="shared" si="14"/>
        <v>186.05548823479126</v>
      </c>
    </row>
    <row r="12" spans="1:12">
      <c r="D12" s="170">
        <f>$C$11-D11</f>
        <v>-10.379577453181952</v>
      </c>
      <c r="E12" s="170">
        <f t="shared" ref="E12:J12" si="15">$C$11-E11</f>
        <v>-11.114262222222237</v>
      </c>
      <c r="F12" s="170">
        <f t="shared" si="15"/>
        <v>-11.486820307661247</v>
      </c>
      <c r="G12" s="170">
        <f t="shared" si="15"/>
        <v>-2.9811664260801933</v>
      </c>
      <c r="H12" s="170">
        <f t="shared" si="15"/>
        <v>-9.0298185535208688</v>
      </c>
      <c r="I12" s="171">
        <f t="shared" si="15"/>
        <v>-0.47777777777778851</v>
      </c>
      <c r="J12" s="170">
        <f t="shared" si="15"/>
        <v>-12.611043790346798</v>
      </c>
    </row>
  </sheetData>
  <autoFilter ref="A1:L10" xr:uid="{9FFDAE45-9797-4691-ABA9-2D58A4ED925A}">
    <sortState xmlns:xlrd2="http://schemas.microsoft.com/office/spreadsheetml/2017/richdata2" ref="A2:L10">
      <sortCondition ref="B1:B10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9852-29B1-463A-8FC3-8D1C6F22F509}">
  <dimension ref="A1:T5"/>
  <sheetViews>
    <sheetView zoomScale="85" zoomScaleNormal="85" workbookViewId="0">
      <selection activeCell="T5" sqref="T5"/>
    </sheetView>
  </sheetViews>
  <sheetFormatPr baseColWidth="10" defaultRowHeight="14.4"/>
  <sheetData>
    <row r="1" spans="1:20">
      <c r="B1" s="163" t="s">
        <v>44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0">
      <c r="B2" s="20">
        <v>15</v>
      </c>
      <c r="C2" s="20">
        <v>20</v>
      </c>
      <c r="D2" s="20">
        <v>25</v>
      </c>
      <c r="E2" s="20">
        <v>30</v>
      </c>
      <c r="F2" s="20">
        <v>35</v>
      </c>
      <c r="G2" s="20">
        <v>40</v>
      </c>
      <c r="H2" s="20">
        <v>45</v>
      </c>
      <c r="I2" s="20">
        <v>50</v>
      </c>
      <c r="J2" s="20">
        <v>55</v>
      </c>
      <c r="K2" s="20">
        <v>60</v>
      </c>
      <c r="L2" s="20">
        <v>65</v>
      </c>
      <c r="M2" s="20">
        <v>70</v>
      </c>
      <c r="N2" s="20">
        <v>75</v>
      </c>
      <c r="O2" s="20">
        <v>80</v>
      </c>
      <c r="P2" s="20">
        <v>85</v>
      </c>
      <c r="Q2" s="20">
        <v>90</v>
      </c>
      <c r="R2" s="20">
        <v>95</v>
      </c>
      <c r="S2" s="20">
        <v>100</v>
      </c>
    </row>
    <row r="3" spans="1:20">
      <c r="A3" s="1" t="s">
        <v>13</v>
      </c>
      <c r="B3" s="21">
        <v>334</v>
      </c>
      <c r="C3" s="21">
        <v>350</v>
      </c>
      <c r="D3" s="21">
        <v>378</v>
      </c>
      <c r="E3" s="21">
        <v>390</v>
      </c>
      <c r="F3" s="21">
        <v>457</v>
      </c>
      <c r="G3" s="153">
        <v>501</v>
      </c>
      <c r="H3" s="21">
        <v>356</v>
      </c>
      <c r="I3" s="21">
        <v>372</v>
      </c>
      <c r="J3" s="21">
        <v>330</v>
      </c>
      <c r="K3" s="21">
        <v>285</v>
      </c>
      <c r="L3" s="21">
        <v>207</v>
      </c>
      <c r="M3" s="21">
        <v>162</v>
      </c>
      <c r="N3" s="21">
        <v>116</v>
      </c>
      <c r="O3" s="21">
        <v>100</v>
      </c>
      <c r="P3" s="21">
        <v>90</v>
      </c>
      <c r="Q3" s="21">
        <v>80</v>
      </c>
      <c r="R3" s="21">
        <v>70</v>
      </c>
      <c r="S3" s="21">
        <v>60</v>
      </c>
      <c r="T3">
        <f>MAX(B3:S3)</f>
        <v>501</v>
      </c>
    </row>
    <row r="4" spans="1:20">
      <c r="A4" s="1" t="s">
        <v>14</v>
      </c>
      <c r="B4" s="21">
        <v>393</v>
      </c>
      <c r="C4" s="21">
        <v>427</v>
      </c>
      <c r="D4" s="21">
        <v>412</v>
      </c>
      <c r="E4" s="21">
        <v>411</v>
      </c>
      <c r="F4" s="21">
        <v>375</v>
      </c>
      <c r="G4" s="21">
        <v>377</v>
      </c>
      <c r="H4" s="153">
        <v>453</v>
      </c>
      <c r="I4" s="21">
        <v>372</v>
      </c>
      <c r="J4" s="21">
        <v>367</v>
      </c>
      <c r="K4" s="21">
        <v>323</v>
      </c>
      <c r="L4" s="21">
        <v>280</v>
      </c>
      <c r="M4" s="21">
        <v>253</v>
      </c>
      <c r="N4" s="21">
        <v>251</v>
      </c>
      <c r="O4" s="21">
        <v>232</v>
      </c>
      <c r="P4" s="21">
        <v>178</v>
      </c>
      <c r="Q4" s="21">
        <v>123</v>
      </c>
      <c r="R4" s="21">
        <v>100</v>
      </c>
      <c r="S4" s="21">
        <v>65</v>
      </c>
      <c r="T4">
        <f t="shared" ref="T4:T5" si="0">MAX(B4:S4)</f>
        <v>453</v>
      </c>
    </row>
    <row r="5" spans="1:20">
      <c r="A5" s="1" t="s">
        <v>15</v>
      </c>
      <c r="B5" s="21">
        <v>474</v>
      </c>
      <c r="C5" s="21">
        <v>552</v>
      </c>
      <c r="D5" s="21">
        <v>564</v>
      </c>
      <c r="E5" s="21">
        <v>572</v>
      </c>
      <c r="F5" s="153">
        <v>588</v>
      </c>
      <c r="G5" s="21">
        <v>513</v>
      </c>
      <c r="H5" s="21">
        <v>512</v>
      </c>
      <c r="I5" s="21">
        <v>512</v>
      </c>
      <c r="J5" s="21">
        <v>488</v>
      </c>
      <c r="K5" s="21">
        <v>523</v>
      </c>
      <c r="L5" s="21">
        <v>496</v>
      </c>
      <c r="M5" s="21">
        <v>502</v>
      </c>
      <c r="N5" s="21">
        <v>431</v>
      </c>
      <c r="O5" s="21">
        <v>400</v>
      </c>
      <c r="P5" s="21">
        <v>364</v>
      </c>
      <c r="Q5" s="21">
        <v>323</v>
      </c>
      <c r="R5" s="21">
        <v>304</v>
      </c>
      <c r="S5" s="21">
        <v>218</v>
      </c>
      <c r="T5">
        <f t="shared" si="0"/>
        <v>588</v>
      </c>
    </row>
  </sheetData>
  <mergeCells count="1">
    <mergeCell ref="B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B148-60FC-4408-97E5-B60604C2FAE9}">
  <dimension ref="A1:G16"/>
  <sheetViews>
    <sheetView workbookViewId="0">
      <selection activeCell="F17" sqref="F17"/>
    </sheetView>
  </sheetViews>
  <sheetFormatPr baseColWidth="10" defaultRowHeight="14.4"/>
  <cols>
    <col min="1" max="1" width="10.109375" style="24" bestFit="1" customWidth="1"/>
    <col min="2" max="2" width="16.6640625" style="24" bestFit="1" customWidth="1"/>
    <col min="3" max="3" width="34.5546875" style="24" bestFit="1" customWidth="1"/>
    <col min="4" max="4" width="12" style="24" bestFit="1" customWidth="1"/>
    <col min="5" max="16384" width="11.5546875" style="24"/>
  </cols>
  <sheetData>
    <row r="1" spans="1:7" ht="15.6">
      <c r="A1" s="22" t="s">
        <v>45</v>
      </c>
      <c r="B1" s="23" t="s">
        <v>46</v>
      </c>
      <c r="C1" s="22" t="s">
        <v>47</v>
      </c>
      <c r="D1" s="23" t="s">
        <v>48</v>
      </c>
      <c r="F1" s="24" t="s">
        <v>2</v>
      </c>
      <c r="G1" s="24" t="s">
        <v>13</v>
      </c>
    </row>
    <row r="2" spans="1:7" ht="15.6">
      <c r="A2" s="25">
        <v>100</v>
      </c>
      <c r="B2" s="26">
        <v>25</v>
      </c>
      <c r="C2" s="25">
        <v>6</v>
      </c>
      <c r="D2" s="27">
        <v>65</v>
      </c>
      <c r="F2" s="24" t="s">
        <v>49</v>
      </c>
      <c r="G2" s="24" t="s">
        <v>52</v>
      </c>
    </row>
    <row r="3" spans="1:7" ht="15.6">
      <c r="A3" s="25">
        <v>125</v>
      </c>
      <c r="B3" s="26">
        <v>25.5</v>
      </c>
      <c r="C3" s="25">
        <v>6</v>
      </c>
      <c r="D3" s="27">
        <v>75</v>
      </c>
      <c r="F3" s="24" t="s">
        <v>50</v>
      </c>
      <c r="G3" s="24" t="s">
        <v>51</v>
      </c>
    </row>
    <row r="4" spans="1:7" ht="15.6">
      <c r="A4" s="25">
        <v>150</v>
      </c>
      <c r="B4" s="26">
        <v>26</v>
      </c>
      <c r="C4" s="25">
        <v>7</v>
      </c>
      <c r="D4" s="27">
        <v>85</v>
      </c>
    </row>
    <row r="5" spans="1:7" ht="15.6">
      <c r="A5" s="25">
        <v>175</v>
      </c>
      <c r="B5" s="26">
        <v>34</v>
      </c>
      <c r="C5" s="25">
        <v>9</v>
      </c>
      <c r="D5" s="27">
        <v>90</v>
      </c>
    </row>
    <row r="6" spans="1:7" ht="15.6">
      <c r="A6" s="25">
        <v>200</v>
      </c>
      <c r="B6" s="26">
        <v>40</v>
      </c>
      <c r="C6" s="25">
        <v>10</v>
      </c>
      <c r="D6" s="27">
        <v>95</v>
      </c>
    </row>
    <row r="7" spans="1:7" ht="15.6">
      <c r="A7" s="25">
        <v>225</v>
      </c>
      <c r="B7" s="26">
        <v>44</v>
      </c>
      <c r="C7" s="25">
        <v>11</v>
      </c>
      <c r="D7" s="27">
        <v>100</v>
      </c>
    </row>
    <row r="8" spans="1:7" ht="15.6">
      <c r="A8" s="25">
        <v>250</v>
      </c>
      <c r="B8" s="26">
        <v>45.5</v>
      </c>
      <c r="C8" s="25">
        <v>12</v>
      </c>
      <c r="D8" s="27">
        <v>103</v>
      </c>
    </row>
    <row r="9" spans="1:7" ht="15.6">
      <c r="A9" s="25">
        <v>275</v>
      </c>
      <c r="B9" s="26">
        <v>50.6</v>
      </c>
      <c r="C9" s="25">
        <v>12</v>
      </c>
      <c r="D9" s="27">
        <v>105</v>
      </c>
    </row>
    <row r="10" spans="1:7" ht="15.6">
      <c r="A10" s="25">
        <v>300</v>
      </c>
      <c r="B10" s="26">
        <v>55</v>
      </c>
      <c r="C10" s="25">
        <v>13</v>
      </c>
      <c r="D10" s="27">
        <v>112</v>
      </c>
    </row>
    <row r="11" spans="1:7" ht="15.6">
      <c r="A11" s="25">
        <v>325</v>
      </c>
      <c r="B11" s="26">
        <v>54</v>
      </c>
      <c r="C11" s="25">
        <v>14</v>
      </c>
      <c r="D11" s="27">
        <v>120</v>
      </c>
    </row>
    <row r="12" spans="1:7" ht="15.6">
      <c r="A12" s="25">
        <v>350</v>
      </c>
      <c r="B12" s="26">
        <v>59</v>
      </c>
      <c r="C12" s="25">
        <v>14</v>
      </c>
      <c r="D12" s="27">
        <v>140</v>
      </c>
    </row>
    <row r="13" spans="1:7" ht="15.6">
      <c r="A13" s="25">
        <v>375</v>
      </c>
      <c r="B13" s="26">
        <v>61</v>
      </c>
      <c r="C13" s="25">
        <v>15</v>
      </c>
      <c r="D13" s="27">
        <v>155</v>
      </c>
    </row>
    <row r="14" spans="1:7" ht="15.6">
      <c r="A14" s="25">
        <v>400</v>
      </c>
      <c r="B14" s="26">
        <v>66.5</v>
      </c>
      <c r="C14" s="25">
        <v>16</v>
      </c>
      <c r="D14" s="27">
        <v>170</v>
      </c>
    </row>
    <row r="15" spans="1:7" ht="15.6">
      <c r="A15" s="25">
        <v>425</v>
      </c>
      <c r="B15" s="26">
        <v>66.5</v>
      </c>
      <c r="C15" s="25">
        <v>16</v>
      </c>
      <c r="D15" s="27">
        <v>179</v>
      </c>
    </row>
    <row r="16" spans="1:7" ht="15.6">
      <c r="A16" s="25">
        <v>450</v>
      </c>
      <c r="B16" s="26">
        <v>66.5</v>
      </c>
      <c r="C16" s="25">
        <v>17</v>
      </c>
      <c r="D16" s="27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4271-31ED-4C75-B711-6BF2855EE667}">
  <dimension ref="A1:C32"/>
  <sheetViews>
    <sheetView workbookViewId="0">
      <selection activeCell="C2" sqref="C2:C31"/>
    </sheetView>
  </sheetViews>
  <sheetFormatPr baseColWidth="10" defaultRowHeight="14.4"/>
  <sheetData>
    <row r="1" spans="1:3">
      <c r="A1" s="1" t="s">
        <v>53</v>
      </c>
      <c r="B1" s="1" t="s">
        <v>54</v>
      </c>
      <c r="C1" s="1" t="s">
        <v>55</v>
      </c>
    </row>
    <row r="2" spans="1:3">
      <c r="A2" s="1">
        <v>1</v>
      </c>
      <c r="B2" s="1">
        <v>129</v>
      </c>
      <c r="C2" s="1">
        <v>787</v>
      </c>
    </row>
    <row r="3" spans="1:3">
      <c r="A3" s="1">
        <v>2</v>
      </c>
      <c r="B3" s="1">
        <v>144</v>
      </c>
      <c r="C3" s="1">
        <v>957</v>
      </c>
    </row>
    <row r="4" spans="1:3">
      <c r="A4" s="1">
        <v>3</v>
      </c>
      <c r="B4" s="1">
        <v>151</v>
      </c>
      <c r="C4" s="1">
        <v>921</v>
      </c>
    </row>
    <row r="5" spans="1:3">
      <c r="A5" s="1">
        <v>4</v>
      </c>
      <c r="B5" s="1">
        <v>151</v>
      </c>
      <c r="C5" s="1">
        <v>921</v>
      </c>
    </row>
    <row r="6" spans="1:3">
      <c r="A6" s="1">
        <v>5</v>
      </c>
      <c r="B6" s="1">
        <v>149</v>
      </c>
      <c r="C6" s="1">
        <v>909</v>
      </c>
    </row>
    <row r="7" spans="1:3">
      <c r="A7" s="1">
        <v>6</v>
      </c>
      <c r="B7" s="1">
        <v>142</v>
      </c>
      <c r="C7" s="1">
        <v>866</v>
      </c>
    </row>
    <row r="8" spans="1:3">
      <c r="A8" s="1">
        <v>7</v>
      </c>
      <c r="B8" s="1">
        <v>139</v>
      </c>
      <c r="C8" s="1">
        <v>848</v>
      </c>
    </row>
    <row r="9" spans="1:3">
      <c r="A9" s="1">
        <v>8</v>
      </c>
      <c r="B9" s="1">
        <v>133</v>
      </c>
      <c r="C9" s="1">
        <v>811</v>
      </c>
    </row>
    <row r="10" spans="1:3">
      <c r="A10" s="1">
        <v>9</v>
      </c>
      <c r="B10" s="1">
        <v>129</v>
      </c>
      <c r="C10" s="1">
        <v>787</v>
      </c>
    </row>
    <row r="11" spans="1:3">
      <c r="A11" s="1">
        <v>10</v>
      </c>
      <c r="B11" s="1">
        <v>124</v>
      </c>
      <c r="C11" s="1">
        <v>756</v>
      </c>
    </row>
    <row r="12" spans="1:3">
      <c r="A12" s="1">
        <v>11</v>
      </c>
      <c r="B12" s="1">
        <v>118</v>
      </c>
      <c r="C12" s="1">
        <v>720</v>
      </c>
    </row>
    <row r="13" spans="1:3">
      <c r="A13" s="1">
        <v>12</v>
      </c>
      <c r="B13" s="1">
        <v>115</v>
      </c>
      <c r="C13" s="1">
        <v>701</v>
      </c>
    </row>
    <row r="14" spans="1:3">
      <c r="A14" s="1">
        <v>13</v>
      </c>
      <c r="B14" s="1">
        <v>111</v>
      </c>
      <c r="C14" s="1">
        <v>677</v>
      </c>
    </row>
    <row r="15" spans="1:3">
      <c r="A15" s="1">
        <v>14</v>
      </c>
      <c r="B15" s="1">
        <v>105</v>
      </c>
      <c r="C15" s="1">
        <v>640</v>
      </c>
    </row>
    <row r="16" spans="1:3">
      <c r="A16" s="1">
        <v>15</v>
      </c>
      <c r="B16" s="1">
        <v>103</v>
      </c>
      <c r="C16" s="1">
        <v>628</v>
      </c>
    </row>
    <row r="17" spans="1:3">
      <c r="A17" s="1">
        <v>16</v>
      </c>
      <c r="B17" s="1">
        <v>102</v>
      </c>
      <c r="C17" s="1">
        <v>622</v>
      </c>
    </row>
    <row r="18" spans="1:3">
      <c r="A18" s="1">
        <v>17</v>
      </c>
      <c r="B18" s="1">
        <v>99</v>
      </c>
      <c r="C18" s="1">
        <v>604</v>
      </c>
    </row>
    <row r="19" spans="1:3">
      <c r="A19" s="1">
        <v>18</v>
      </c>
      <c r="B19" s="1">
        <v>94</v>
      </c>
      <c r="C19" s="1">
        <v>573</v>
      </c>
    </row>
    <row r="20" spans="1:3">
      <c r="A20" s="1">
        <v>19</v>
      </c>
      <c r="B20" s="1">
        <v>93</v>
      </c>
      <c r="C20" s="1">
        <v>567</v>
      </c>
    </row>
    <row r="21" spans="1:3">
      <c r="A21" s="1">
        <v>20</v>
      </c>
      <c r="B21" s="1">
        <v>88</v>
      </c>
      <c r="C21" s="1">
        <v>537</v>
      </c>
    </row>
    <row r="22" spans="1:3">
      <c r="A22" s="1">
        <v>21</v>
      </c>
      <c r="B22" s="1">
        <v>82</v>
      </c>
      <c r="C22" s="1">
        <v>500</v>
      </c>
    </row>
    <row r="23" spans="1:3">
      <c r="A23" s="1">
        <v>22</v>
      </c>
      <c r="B23" s="1">
        <v>82</v>
      </c>
      <c r="C23" s="1">
        <v>490</v>
      </c>
    </row>
    <row r="24" spans="1:3">
      <c r="A24" s="1">
        <v>23</v>
      </c>
      <c r="B24" s="1">
        <v>78</v>
      </c>
      <c r="C24" s="1">
        <v>476</v>
      </c>
    </row>
    <row r="25" spans="1:3">
      <c r="A25" s="1">
        <v>24</v>
      </c>
      <c r="B25" s="1">
        <v>78</v>
      </c>
      <c r="C25" s="1">
        <v>476</v>
      </c>
    </row>
    <row r="26" spans="1:3">
      <c r="A26" s="1">
        <v>25</v>
      </c>
      <c r="B26" s="1">
        <v>76</v>
      </c>
      <c r="C26" s="1">
        <v>463</v>
      </c>
    </row>
    <row r="27" spans="1:3">
      <c r="A27" s="1">
        <v>26</v>
      </c>
      <c r="B27" s="1">
        <v>74</v>
      </c>
      <c r="C27" s="1">
        <v>451</v>
      </c>
    </row>
    <row r="28" spans="1:3">
      <c r="A28" s="1">
        <v>27</v>
      </c>
      <c r="B28" s="1">
        <v>69</v>
      </c>
      <c r="C28" s="1">
        <v>421</v>
      </c>
    </row>
    <row r="29" spans="1:3">
      <c r="A29" s="1">
        <v>28</v>
      </c>
      <c r="B29" s="1">
        <v>69</v>
      </c>
      <c r="C29" s="1">
        <v>417</v>
      </c>
    </row>
    <row r="30" spans="1:3">
      <c r="A30" s="1">
        <v>29</v>
      </c>
      <c r="B30" s="1">
        <v>67</v>
      </c>
      <c r="C30" s="1">
        <v>409</v>
      </c>
    </row>
    <row r="31" spans="1:3">
      <c r="A31" s="1">
        <v>30</v>
      </c>
      <c r="B31" s="1">
        <v>65</v>
      </c>
      <c r="C31" s="1">
        <v>325</v>
      </c>
    </row>
    <row r="32" spans="1:3">
      <c r="C32">
        <f>AVERAGE(C2:C31)</f>
        <v>642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5555-E355-425B-87CA-1BB7ABCB83D9}">
  <dimension ref="A1:C30"/>
  <sheetViews>
    <sheetView workbookViewId="0">
      <selection activeCell="C30" sqref="C30"/>
    </sheetView>
  </sheetViews>
  <sheetFormatPr baseColWidth="10" defaultRowHeight="14.4"/>
  <cols>
    <col min="1" max="1" width="13.88671875" bestFit="1" customWidth="1"/>
    <col min="2" max="3" width="14.5546875" customWidth="1"/>
  </cols>
  <sheetData>
    <row r="1" spans="1:3">
      <c r="A1" s="29" t="s">
        <v>56</v>
      </c>
      <c r="B1" s="28" t="s">
        <v>69</v>
      </c>
      <c r="C1" s="28" t="s">
        <v>57</v>
      </c>
    </row>
    <row r="2" spans="1:3">
      <c r="A2" s="1" t="s">
        <v>13</v>
      </c>
      <c r="B2" s="15">
        <v>12.31</v>
      </c>
      <c r="C2" s="15">
        <v>23.1</v>
      </c>
    </row>
    <row r="3" spans="1:3">
      <c r="A3" s="1" t="s">
        <v>14</v>
      </c>
      <c r="B3" s="15">
        <v>11.29</v>
      </c>
      <c r="C3" s="15" t="s">
        <v>148</v>
      </c>
    </row>
    <row r="4" spans="1:3">
      <c r="A4" s="1" t="s">
        <v>15</v>
      </c>
      <c r="B4" s="15">
        <v>13.28</v>
      </c>
      <c r="C4" s="15">
        <v>18.7</v>
      </c>
    </row>
    <row r="5" spans="1:3">
      <c r="A5" s="1" t="s">
        <v>16</v>
      </c>
      <c r="B5" s="15">
        <v>10.97</v>
      </c>
      <c r="C5" s="15">
        <v>52.88</v>
      </c>
    </row>
    <row r="6" spans="1:3">
      <c r="A6" s="1" t="s">
        <v>17</v>
      </c>
      <c r="B6" s="15">
        <v>11.03</v>
      </c>
      <c r="C6" s="15">
        <v>44.29</v>
      </c>
    </row>
    <row r="7" spans="1:3">
      <c r="A7" s="1" t="s">
        <v>18</v>
      </c>
      <c r="B7" s="15">
        <v>11.86</v>
      </c>
      <c r="C7" s="15">
        <v>37.53</v>
      </c>
    </row>
    <row r="8" spans="1:3">
      <c r="A8" s="1" t="s">
        <v>19</v>
      </c>
      <c r="B8" s="15">
        <v>11.94</v>
      </c>
      <c r="C8" s="15">
        <v>41.1</v>
      </c>
    </row>
    <row r="9" spans="1:3">
      <c r="A9" s="1" t="s">
        <v>20</v>
      </c>
      <c r="B9" s="15">
        <v>9.99</v>
      </c>
      <c r="C9" s="15">
        <v>55.98</v>
      </c>
    </row>
    <row r="10" spans="1:3">
      <c r="A10" s="1" t="s">
        <v>21</v>
      </c>
      <c r="B10" s="15">
        <v>11.93</v>
      </c>
      <c r="C10" s="15">
        <v>38.94</v>
      </c>
    </row>
    <row r="11" spans="1:3">
      <c r="A11" s="1" t="s">
        <v>22</v>
      </c>
      <c r="B11" s="15">
        <v>12.94</v>
      </c>
      <c r="C11" s="15">
        <v>30.06</v>
      </c>
    </row>
    <row r="12" spans="1:3">
      <c r="A12" s="1" t="s">
        <v>23</v>
      </c>
      <c r="B12" s="15">
        <v>11.52</v>
      </c>
      <c r="C12" s="15">
        <v>43.32</v>
      </c>
    </row>
    <row r="13" spans="1:3">
      <c r="A13" s="1" t="s">
        <v>24</v>
      </c>
      <c r="B13" s="15">
        <v>10.95</v>
      </c>
      <c r="C13" s="15">
        <v>47.33</v>
      </c>
    </row>
    <row r="14" spans="1:3">
      <c r="A14" s="1" t="s">
        <v>25</v>
      </c>
      <c r="B14" s="15">
        <v>12.01</v>
      </c>
      <c r="C14" s="15">
        <v>34.6</v>
      </c>
    </row>
    <row r="15" spans="1:3">
      <c r="A15" s="1" t="s">
        <v>26</v>
      </c>
      <c r="B15" s="15">
        <v>12.27</v>
      </c>
      <c r="C15" s="15">
        <v>26.5</v>
      </c>
    </row>
    <row r="16" spans="1:3">
      <c r="A16" s="1" t="s">
        <v>27</v>
      </c>
      <c r="B16" s="15">
        <v>12.37</v>
      </c>
      <c r="C16" s="15">
        <v>27.5</v>
      </c>
    </row>
    <row r="17" spans="1:3">
      <c r="A17" s="1" t="s">
        <v>28</v>
      </c>
      <c r="B17" s="15">
        <v>11.98</v>
      </c>
      <c r="C17" s="15">
        <v>30.21</v>
      </c>
    </row>
    <row r="18" spans="1:3">
      <c r="A18" s="1" t="s">
        <v>58</v>
      </c>
      <c r="B18" s="15">
        <v>10.8</v>
      </c>
      <c r="C18" s="15">
        <v>39.299999999999997</v>
      </c>
    </row>
    <row r="19" spans="1:3">
      <c r="A19" s="1" t="s">
        <v>59</v>
      </c>
      <c r="B19" s="15">
        <v>10.7</v>
      </c>
      <c r="C19" s="15">
        <v>38.58</v>
      </c>
    </row>
    <row r="20" spans="1:3">
      <c r="A20" s="1" t="s">
        <v>60</v>
      </c>
      <c r="B20" s="15">
        <v>10.88</v>
      </c>
      <c r="C20" s="15">
        <v>37.979999999999997</v>
      </c>
    </row>
    <row r="21" spans="1:3">
      <c r="A21" s="1" t="s">
        <v>61</v>
      </c>
      <c r="B21" s="15">
        <v>12.35</v>
      </c>
      <c r="C21" s="15">
        <v>23.1</v>
      </c>
    </row>
    <row r="22" spans="1:3">
      <c r="A22" s="1" t="s">
        <v>62</v>
      </c>
      <c r="B22" s="15">
        <v>11.05</v>
      </c>
      <c r="C22" s="15">
        <v>47.22</v>
      </c>
    </row>
    <row r="23" spans="1:3">
      <c r="A23" s="1" t="s">
        <v>63</v>
      </c>
      <c r="B23" s="15">
        <v>11.1</v>
      </c>
      <c r="C23" s="15">
        <v>37.92</v>
      </c>
    </row>
    <row r="24" spans="1:3">
      <c r="A24" s="1" t="s">
        <v>64</v>
      </c>
      <c r="B24" s="15">
        <v>12.09</v>
      </c>
      <c r="C24" s="15">
        <v>25.4</v>
      </c>
    </row>
    <row r="25" spans="1:3">
      <c r="A25" s="1" t="s">
        <v>65</v>
      </c>
      <c r="B25" s="15">
        <v>10.56</v>
      </c>
      <c r="C25" s="15">
        <v>55.01</v>
      </c>
    </row>
    <row r="26" spans="1:3">
      <c r="A26" s="1" t="s">
        <v>66</v>
      </c>
      <c r="B26" s="15">
        <v>12.31</v>
      </c>
      <c r="C26" s="15">
        <v>25.6</v>
      </c>
    </row>
    <row r="27" spans="1:3">
      <c r="A27" s="1" t="s">
        <v>67</v>
      </c>
      <c r="B27" s="15">
        <v>10.43</v>
      </c>
      <c r="C27" s="15">
        <v>49</v>
      </c>
    </row>
    <row r="28" spans="1:3">
      <c r="A28" s="1" t="s">
        <v>68</v>
      </c>
      <c r="B28" s="15">
        <v>9.76</v>
      </c>
      <c r="C28" s="15">
        <v>56.32</v>
      </c>
    </row>
    <row r="30" spans="1:3">
      <c r="C30" s="17">
        <f>PEARSON(B2:B28,C2:C28)</f>
        <v>-0.88291111993127125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309C-6C63-49FA-B0CE-85C1EC0691C5}">
  <dimension ref="A1:F11"/>
  <sheetViews>
    <sheetView workbookViewId="0">
      <selection activeCell="E12" sqref="E12"/>
    </sheetView>
  </sheetViews>
  <sheetFormatPr baseColWidth="10" defaultRowHeight="14.4"/>
  <cols>
    <col min="3" max="3" width="12.21875" bestFit="1" customWidth="1"/>
    <col min="4" max="4" width="16.33203125" bestFit="1" customWidth="1"/>
    <col min="5" max="5" width="22.33203125" bestFit="1" customWidth="1"/>
    <col min="6" max="6" width="23.88671875" bestFit="1" customWidth="1"/>
  </cols>
  <sheetData>
    <row r="1" spans="1:6">
      <c r="A1" s="1" t="s">
        <v>2</v>
      </c>
      <c r="B1" s="1" t="s">
        <v>70</v>
      </c>
      <c r="C1" s="1" t="s">
        <v>71</v>
      </c>
      <c r="D1" s="1" t="s">
        <v>72</v>
      </c>
      <c r="F1" t="s">
        <v>75</v>
      </c>
    </row>
    <row r="2" spans="1:6">
      <c r="A2" s="1" t="s">
        <v>76</v>
      </c>
      <c r="B2" s="15">
        <v>65.3</v>
      </c>
      <c r="C2" s="15">
        <v>65.3</v>
      </c>
      <c r="D2" s="30">
        <f>(B2-C2)/B2</f>
        <v>0</v>
      </c>
      <c r="F2" t="s">
        <v>86</v>
      </c>
    </row>
    <row r="3" spans="1:6">
      <c r="A3" s="1" t="s">
        <v>77</v>
      </c>
      <c r="B3" s="15">
        <v>96</v>
      </c>
      <c r="C3" s="15">
        <v>94.6</v>
      </c>
      <c r="D3" s="30">
        <f t="shared" ref="D3:D11" si="0">(B3-C3)/B3</f>
        <v>1.4583333333333393E-2</v>
      </c>
      <c r="F3" t="s">
        <v>73</v>
      </c>
    </row>
    <row r="4" spans="1:6">
      <c r="A4" s="1" t="s">
        <v>78</v>
      </c>
      <c r="B4" s="15">
        <v>80.400000000000006</v>
      </c>
      <c r="C4" s="15">
        <v>80.2</v>
      </c>
      <c r="D4" s="30">
        <f t="shared" si="0"/>
        <v>2.4875621890547614E-3</v>
      </c>
      <c r="F4">
        <v>33.299999999999997</v>
      </c>
    </row>
    <row r="5" spans="1:6">
      <c r="A5" s="1" t="s">
        <v>79</v>
      </c>
      <c r="B5" s="15">
        <v>85.5</v>
      </c>
      <c r="C5" s="15">
        <v>85.2</v>
      </c>
      <c r="D5" s="30">
        <f t="shared" si="0"/>
        <v>3.5087719298245281E-3</v>
      </c>
      <c r="F5" t="s">
        <v>74</v>
      </c>
    </row>
    <row r="6" spans="1:6">
      <c r="A6" s="1" t="s">
        <v>80</v>
      </c>
      <c r="B6" s="15">
        <v>59</v>
      </c>
      <c r="C6" s="15">
        <v>57.6</v>
      </c>
      <c r="D6" s="30">
        <f t="shared" si="0"/>
        <v>2.372881355932201E-2</v>
      </c>
      <c r="F6">
        <v>55</v>
      </c>
    </row>
    <row r="7" spans="1:6">
      <c r="A7" s="1" t="s">
        <v>81</v>
      </c>
      <c r="B7" s="15">
        <v>70.599999999999994</v>
      </c>
      <c r="C7" s="15">
        <v>68.8</v>
      </c>
      <c r="D7" s="30">
        <f t="shared" si="0"/>
        <v>2.5495750708215258E-2</v>
      </c>
    </row>
    <row r="8" spans="1:6">
      <c r="A8" s="1" t="s">
        <v>82</v>
      </c>
      <c r="B8" s="15">
        <v>82.4</v>
      </c>
      <c r="C8" s="15">
        <v>80</v>
      </c>
      <c r="D8" s="30">
        <f t="shared" si="0"/>
        <v>2.9126213592233077E-2</v>
      </c>
    </row>
    <row r="9" spans="1:6">
      <c r="A9" s="1" t="s">
        <v>83</v>
      </c>
      <c r="B9" s="15">
        <v>81.5</v>
      </c>
      <c r="C9" s="15">
        <v>79.5</v>
      </c>
      <c r="D9" s="30">
        <f t="shared" si="0"/>
        <v>2.4539877300613498E-2</v>
      </c>
    </row>
    <row r="10" spans="1:6">
      <c r="A10" s="1" t="s">
        <v>84</v>
      </c>
      <c r="B10" s="15">
        <v>93.3</v>
      </c>
      <c r="C10" s="15">
        <v>91</v>
      </c>
      <c r="D10" s="30">
        <f t="shared" si="0"/>
        <v>2.4651661307609832E-2</v>
      </c>
    </row>
    <row r="11" spans="1:6">
      <c r="A11" s="1" t="s">
        <v>85</v>
      </c>
      <c r="B11" s="15">
        <v>64.5</v>
      </c>
      <c r="C11" s="15">
        <v>62.1</v>
      </c>
      <c r="D11" s="30">
        <f t="shared" si="0"/>
        <v>3.7209302325581374E-2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14E4-B14F-401C-B05F-10352A6760FC}">
  <sheetPr>
    <pageSetUpPr fitToPage="1"/>
  </sheetPr>
  <dimension ref="A1:R70"/>
  <sheetViews>
    <sheetView tabSelected="1" topLeftCell="A7" zoomScaleNormal="100" workbookViewId="0">
      <selection activeCell="I14" sqref="I14"/>
    </sheetView>
  </sheetViews>
  <sheetFormatPr baseColWidth="10" defaultColWidth="11.44140625" defaultRowHeight="13.2"/>
  <cols>
    <col min="1" max="1" width="1.77734375" style="32" customWidth="1"/>
    <col min="2" max="2" width="2.21875" style="32" customWidth="1"/>
    <col min="3" max="3" width="1.21875" style="32" customWidth="1"/>
    <col min="4" max="4" width="18.21875" style="32" customWidth="1"/>
    <col min="5" max="5" width="6.44140625" style="32" customWidth="1"/>
    <col min="6" max="6" width="7.21875" style="32" customWidth="1"/>
    <col min="7" max="7" width="2.44140625" style="32" customWidth="1"/>
    <col min="8" max="8" width="18.5546875" style="32" customWidth="1"/>
    <col min="9" max="9" width="9.5546875" style="32" customWidth="1"/>
    <col min="10" max="10" width="8.21875" style="32" customWidth="1"/>
    <col min="11" max="11" width="1.44140625" style="32" customWidth="1"/>
    <col min="12" max="12" width="0.77734375" style="32" customWidth="1"/>
    <col min="13" max="13" width="14.21875" style="32" customWidth="1"/>
    <col min="14" max="16384" width="11.44140625" style="32"/>
  </cols>
  <sheetData>
    <row r="1" spans="1:18" ht="21" customHeight="1" thickBot="1">
      <c r="A1" s="31" t="s">
        <v>87</v>
      </c>
    </row>
    <row r="2" spans="1:18" ht="21.6" thickBot="1">
      <c r="A2" s="31" t="s">
        <v>88</v>
      </c>
      <c r="C2" s="33"/>
      <c r="D2" s="34"/>
      <c r="E2" s="34"/>
      <c r="F2" s="34" t="s">
        <v>89</v>
      </c>
      <c r="G2" s="34"/>
      <c r="H2" s="35"/>
      <c r="I2" s="36"/>
      <c r="J2" s="36"/>
      <c r="K2" s="37"/>
      <c r="P2" s="38"/>
      <c r="Q2" s="38"/>
      <c r="R2" s="39" t="s">
        <v>90</v>
      </c>
    </row>
    <row r="3" spans="1:18" ht="21.6" thickBot="1">
      <c r="A3" s="31"/>
      <c r="C3" s="40"/>
      <c r="D3" s="41" t="s">
        <v>91</v>
      </c>
      <c r="E3" s="41"/>
      <c r="F3" s="41"/>
      <c r="G3" s="41"/>
      <c r="H3" s="42"/>
      <c r="I3" s="43"/>
      <c r="J3" s="43"/>
      <c r="K3" s="44"/>
      <c r="P3" s="45" t="s">
        <v>92</v>
      </c>
      <c r="Q3" s="46">
        <v>70</v>
      </c>
      <c r="R3" s="47">
        <f>(1/8.6)*(Q3*(POWER((170.18/Q4),3))-64.58)</f>
        <v>0.3745740568166312</v>
      </c>
    </row>
    <row r="4" spans="1:18" ht="21.6" thickBot="1">
      <c r="A4" s="31">
        <v>1</v>
      </c>
      <c r="D4" s="48"/>
      <c r="E4" s="48"/>
      <c r="F4" s="48"/>
      <c r="G4" s="48"/>
      <c r="H4" s="49"/>
      <c r="K4" s="50"/>
      <c r="P4" s="51" t="s">
        <v>93</v>
      </c>
      <c r="Q4" s="52">
        <v>172</v>
      </c>
      <c r="R4" s="53">
        <f>(1/6.29)*(Q4*(170.18/Q4)-170.18)</f>
        <v>0</v>
      </c>
    </row>
    <row r="5" spans="1:18" ht="7.5" customHeight="1" thickBot="1">
      <c r="D5" s="48"/>
      <c r="E5" s="48"/>
      <c r="F5" s="48"/>
      <c r="G5" s="48"/>
      <c r="H5" s="49"/>
    </row>
    <row r="6" spans="1:18" ht="6" customHeight="1" thickBot="1">
      <c r="C6" s="33"/>
      <c r="D6" s="36"/>
      <c r="E6" s="36"/>
      <c r="F6" s="36"/>
      <c r="G6" s="36"/>
      <c r="H6" s="36"/>
      <c r="I6" s="36"/>
      <c r="J6" s="36"/>
      <c r="K6" s="37"/>
    </row>
    <row r="7" spans="1:18" ht="12.75" customHeight="1" thickBot="1">
      <c r="C7" s="54"/>
      <c r="D7" s="55" t="s">
        <v>94</v>
      </c>
      <c r="E7" s="56"/>
      <c r="F7" s="57"/>
      <c r="H7" s="38"/>
      <c r="I7" s="38"/>
      <c r="J7" s="39" t="s">
        <v>90</v>
      </c>
      <c r="K7" s="58"/>
    </row>
    <row r="8" spans="1:18" ht="12.75" customHeight="1" thickBot="1">
      <c r="C8" s="54"/>
      <c r="D8" s="59"/>
      <c r="E8" s="60" t="s">
        <v>95</v>
      </c>
      <c r="F8" s="39" t="s">
        <v>90</v>
      </c>
      <c r="H8" s="45" t="s">
        <v>92</v>
      </c>
      <c r="I8" s="46">
        <f>Q3</f>
        <v>70</v>
      </c>
      <c r="J8" s="47">
        <f>(1/8.6)*(I8*(POWER((170.18/I9),3))-64.58)</f>
        <v>0.3745740568166312</v>
      </c>
      <c r="K8" s="58"/>
      <c r="N8" s="61" t="s">
        <v>96</v>
      </c>
      <c r="O8" s="62" t="s">
        <v>97</v>
      </c>
      <c r="P8" s="63" t="s">
        <v>98</v>
      </c>
    </row>
    <row r="9" spans="1:18" ht="14.4" thickBot="1">
      <c r="C9" s="54"/>
      <c r="D9" s="64" t="s">
        <v>99</v>
      </c>
      <c r="E9" s="65">
        <f>+AVERAGE(N9:P9)</f>
        <v>14</v>
      </c>
      <c r="F9" s="66">
        <f>(1/5.07)*(E9*(170.18/I9)-17.2)</f>
        <v>-0.66038255125911616</v>
      </c>
      <c r="H9" s="51" t="s">
        <v>93</v>
      </c>
      <c r="I9" s="52">
        <f>Q4</f>
        <v>172</v>
      </c>
      <c r="J9" s="67">
        <f>(1/6.29)*(I9*(170.18/I9)-170.18)</f>
        <v>0</v>
      </c>
      <c r="K9" s="58"/>
      <c r="M9" s="68" t="s">
        <v>99</v>
      </c>
      <c r="N9" s="69">
        <v>14</v>
      </c>
      <c r="O9" s="70"/>
      <c r="P9" s="71"/>
    </row>
    <row r="10" spans="1:18" ht="13.8">
      <c r="C10" s="54"/>
      <c r="D10" s="72" t="s">
        <v>100</v>
      </c>
      <c r="E10" s="65">
        <f t="shared" ref="E10:E14" si="0">+AVERAGE(N10:P10)</f>
        <v>14</v>
      </c>
      <c r="F10" s="73">
        <f>(1/4.47)*(E10*(170.18/I9)-15.4)</f>
        <v>-0.34633994068987034</v>
      </c>
      <c r="K10" s="58"/>
      <c r="M10" s="74" t="s">
        <v>100</v>
      </c>
      <c r="N10" s="75">
        <v>14</v>
      </c>
      <c r="O10" s="76"/>
      <c r="P10" s="77"/>
    </row>
    <row r="11" spans="1:18" ht="14.4" thickBot="1">
      <c r="C11" s="54"/>
      <c r="D11" s="72" t="s">
        <v>101</v>
      </c>
      <c r="E11" s="65">
        <f t="shared" si="0"/>
        <v>9</v>
      </c>
      <c r="F11" s="73">
        <f>(1/7.78)*((E11*(170.18/I9)-25.4))</f>
        <v>-2.1202098403778322</v>
      </c>
      <c r="I11" s="78"/>
      <c r="J11" s="79"/>
      <c r="K11" s="58"/>
      <c r="M11" s="74" t="s">
        <v>101</v>
      </c>
      <c r="N11" s="75">
        <v>9</v>
      </c>
      <c r="O11" s="76"/>
      <c r="P11" s="77"/>
    </row>
    <row r="12" spans="1:18" ht="18" customHeight="1">
      <c r="C12" s="54"/>
      <c r="D12" s="72" t="s">
        <v>102</v>
      </c>
      <c r="E12" s="65">
        <f t="shared" si="0"/>
        <v>9</v>
      </c>
      <c r="F12" s="80">
        <f>(1/4.47)*(E12*(170.18/I9)-15.4)</f>
        <v>-1.453072160657614</v>
      </c>
      <c r="H12" s="81" t="s">
        <v>103</v>
      </c>
      <c r="I12" s="82"/>
      <c r="J12" s="79"/>
      <c r="K12" s="58"/>
      <c r="M12" s="74" t="s">
        <v>102</v>
      </c>
      <c r="N12" s="75">
        <v>9</v>
      </c>
      <c r="O12" s="76"/>
      <c r="P12" s="77"/>
    </row>
    <row r="13" spans="1:18" ht="12.75" customHeight="1" thickBot="1">
      <c r="C13" s="54"/>
      <c r="D13" s="72" t="s">
        <v>104</v>
      </c>
      <c r="E13" s="65">
        <f t="shared" si="0"/>
        <v>14</v>
      </c>
      <c r="F13" s="73">
        <f>(1/8.33)*(E13*(170.18/I9)-27)</f>
        <v>-1.5784081074290179</v>
      </c>
      <c r="H13" s="83" t="s">
        <v>105</v>
      </c>
      <c r="I13" s="84">
        <v>25</v>
      </c>
      <c r="J13" s="79"/>
      <c r="K13" s="58"/>
      <c r="M13" s="74" t="s">
        <v>104</v>
      </c>
      <c r="N13" s="75">
        <v>14</v>
      </c>
      <c r="O13" s="76"/>
      <c r="P13" s="77"/>
    </row>
    <row r="14" spans="1:18" ht="12.75" customHeight="1" thickBot="1">
      <c r="C14" s="54"/>
      <c r="D14" s="72" t="s">
        <v>106</v>
      </c>
      <c r="E14" s="65">
        <f t="shared" si="0"/>
        <v>14</v>
      </c>
      <c r="F14" s="73">
        <f>(1/4.67)*(E14*(170.18/I9)-16)</f>
        <v>-0.45998705243762744</v>
      </c>
      <c r="K14" s="58"/>
      <c r="M14" s="85" t="s">
        <v>106</v>
      </c>
      <c r="N14" s="86">
        <v>14</v>
      </c>
      <c r="O14" s="87"/>
      <c r="P14" s="88"/>
    </row>
    <row r="15" spans="1:18" ht="12.75" customHeight="1" thickBot="1">
      <c r="C15" s="54"/>
      <c r="D15" s="51" t="s">
        <v>107</v>
      </c>
      <c r="E15" s="89">
        <f>SUM(E9:E14)</f>
        <v>74</v>
      </c>
      <c r="F15" s="90">
        <f>AVERAGE(F9:F14)</f>
        <v>-1.103066608808513</v>
      </c>
      <c r="H15" s="55" t="s">
        <v>108</v>
      </c>
      <c r="I15" s="56"/>
      <c r="J15" s="57"/>
      <c r="K15" s="58"/>
      <c r="M15" s="91"/>
      <c r="N15" s="92"/>
      <c r="O15" s="92"/>
      <c r="P15" s="92"/>
    </row>
    <row r="16" spans="1:18" ht="16.8" thickBot="1">
      <c r="C16" s="54"/>
      <c r="F16" s="93"/>
      <c r="H16" s="94"/>
      <c r="I16" s="60" t="s">
        <v>109</v>
      </c>
      <c r="J16" s="39" t="s">
        <v>90</v>
      </c>
      <c r="K16" s="58"/>
    </row>
    <row r="17" spans="3:11" ht="12.75" customHeight="1" thickBot="1">
      <c r="C17" s="54"/>
      <c r="D17" s="55" t="s">
        <v>110</v>
      </c>
      <c r="E17" s="56"/>
      <c r="F17" s="95"/>
      <c r="H17" s="72" t="s">
        <v>111</v>
      </c>
      <c r="I17" s="96">
        <v>13</v>
      </c>
      <c r="J17" s="97">
        <f>(1/0.48)*(I17*(170.18/I9)-9.52)</f>
        <v>6.963420542635661</v>
      </c>
      <c r="K17" s="58"/>
    </row>
    <row r="18" spans="3:11" ht="12.75" customHeight="1" thickBot="1">
      <c r="C18" s="54"/>
      <c r="D18" s="98"/>
      <c r="E18" s="99" t="s">
        <v>109</v>
      </c>
      <c r="F18" s="100" t="s">
        <v>90</v>
      </c>
      <c r="H18" s="72" t="s">
        <v>112</v>
      </c>
      <c r="I18" s="96">
        <v>10</v>
      </c>
      <c r="J18" s="97">
        <f>(1/0.35)*(I18*(170.18/I9)-6.48)</f>
        <v>9.7548172757475076</v>
      </c>
      <c r="K18" s="58"/>
    </row>
    <row r="19" spans="3:11">
      <c r="C19" s="54"/>
      <c r="D19" s="101" t="s">
        <v>113</v>
      </c>
      <c r="E19" s="102">
        <v>33</v>
      </c>
      <c r="F19" s="103">
        <f>(1/3.67)*(E19*(170.18/I9)-24.88)</f>
        <v>2.1173879982257153</v>
      </c>
      <c r="H19" s="72" t="s">
        <v>114</v>
      </c>
      <c r="I19" s="96">
        <v>7</v>
      </c>
      <c r="J19" s="97">
        <f>(1/0.28)*(I19*(170.18/I9)-5.21)</f>
        <v>6.1283222591362136</v>
      </c>
      <c r="K19" s="58"/>
    </row>
    <row r="20" spans="3:11">
      <c r="C20" s="54"/>
      <c r="D20" s="72" t="s">
        <v>115</v>
      </c>
      <c r="E20" s="96">
        <v>33</v>
      </c>
      <c r="F20" s="97">
        <f>(1/2.3)*(E20*(170.18/I9)-35.25)</f>
        <v>-1.1300808897876637</v>
      </c>
      <c r="K20" s="58"/>
    </row>
    <row r="21" spans="3:11" ht="13.8" thickBot="1">
      <c r="C21" s="54"/>
      <c r="D21" s="51" t="s">
        <v>116</v>
      </c>
      <c r="E21" s="104">
        <v>55</v>
      </c>
      <c r="F21" s="105">
        <f>(1/4.23)*(E21*(170.18/I9)-55.82)</f>
        <v>-0.33143658254989211</v>
      </c>
      <c r="K21" s="58"/>
    </row>
    <row r="22" spans="3:11" ht="16.8" thickBot="1">
      <c r="C22" s="54"/>
      <c r="E22" s="106"/>
      <c r="F22" s="79"/>
      <c r="H22" s="107" t="s">
        <v>117</v>
      </c>
      <c r="I22" s="56"/>
      <c r="J22" s="57"/>
      <c r="K22" s="58"/>
    </row>
    <row r="23" spans="3:11" ht="16.8" thickBot="1">
      <c r="C23" s="54"/>
      <c r="D23" s="164" t="s">
        <v>118</v>
      </c>
      <c r="E23" s="165"/>
      <c r="F23" s="166"/>
      <c r="H23" s="108"/>
      <c r="I23" s="60" t="s">
        <v>109</v>
      </c>
      <c r="J23" s="39" t="s">
        <v>90</v>
      </c>
      <c r="K23" s="58"/>
    </row>
    <row r="24" spans="3:11" ht="13.8" thickBot="1">
      <c r="C24" s="54"/>
      <c r="D24" s="167" t="s">
        <v>119</v>
      </c>
      <c r="E24" s="168"/>
      <c r="F24" s="109" t="s">
        <v>90</v>
      </c>
      <c r="H24" s="64" t="s">
        <v>120</v>
      </c>
      <c r="I24" s="96">
        <v>100</v>
      </c>
      <c r="J24" s="97">
        <f>(1/4.32)*(I24*(170.18/I9)-86.4)</f>
        <v>2.903208440999137</v>
      </c>
      <c r="K24" s="58"/>
    </row>
    <row r="25" spans="3:11">
      <c r="C25" s="54"/>
      <c r="D25" s="110" t="s">
        <v>121</v>
      </c>
      <c r="E25" s="111">
        <f>I8-(E27+E28+E26)</f>
        <v>29.474062088959712</v>
      </c>
      <c r="F25" s="111">
        <f>(1/2.99)*(E25*(POWER((170.18/I9),3))-25.55)</f>
        <v>1.0027750270891032</v>
      </c>
      <c r="H25" s="64" t="s">
        <v>122</v>
      </c>
      <c r="I25" s="96">
        <v>55</v>
      </c>
      <c r="J25" s="97">
        <f>(1/2.56)*(I25*(170.18/I9)-44.82)</f>
        <v>3.7492278343023266</v>
      </c>
      <c r="K25" s="58"/>
    </row>
    <row r="26" spans="3:11" ht="12.75" customHeight="1">
      <c r="C26" s="54"/>
      <c r="D26" s="112" t="s">
        <v>123</v>
      </c>
      <c r="E26" s="113">
        <f>IF((A4=1),(I8*0.241),I8*0.209)</f>
        <v>16.87</v>
      </c>
      <c r="F26" s="113">
        <f>(1/1.9)*(E26*(POWER((170.18/I9),3))-16.41)</f>
        <v>-3.6777794653606428E-2</v>
      </c>
      <c r="H26" s="64" t="s">
        <v>124</v>
      </c>
      <c r="I26" s="96">
        <v>8</v>
      </c>
      <c r="J26" s="97">
        <f>(1/0.96)*(I26*(170.18/I9)-8.01)</f>
        <v>-9.8594961240309573E-2</v>
      </c>
      <c r="K26" s="58"/>
    </row>
    <row r="27" spans="3:11" ht="12.75" customHeight="1">
      <c r="C27" s="54"/>
      <c r="D27" s="112" t="s">
        <v>125</v>
      </c>
      <c r="E27" s="113">
        <f>(I8*E35)/100</f>
        <v>7.2536800000000001</v>
      </c>
      <c r="F27" s="113">
        <f>(1/3.25)*(E27*(POWER((170.18/I9),3))-12.13)</f>
        <v>-1.5705090050010244</v>
      </c>
      <c r="H27" s="64" t="s">
        <v>126</v>
      </c>
      <c r="I27" s="114">
        <f>I25-I26</f>
        <v>47</v>
      </c>
      <c r="J27" s="97">
        <f>(1/2.15)*(I27*(170.18/I9)-37.72)</f>
        <v>4.0849648458626309</v>
      </c>
      <c r="K27" s="58"/>
    </row>
    <row r="28" spans="3:11" ht="12.75" customHeight="1" thickBot="1">
      <c r="C28" s="54"/>
      <c r="D28" s="112" t="s">
        <v>127</v>
      </c>
      <c r="E28" s="115">
        <f>3.02*((I9/100)*(I9/100)*(I19/100)*(I17/100)*400)^0.712</f>
        <v>16.402257911040284</v>
      </c>
      <c r="F28" s="116">
        <f>(1/1.57)*(E28*(POWER((170.18/I9),3))-10.49)</f>
        <v>3.4376252444087743</v>
      </c>
      <c r="H28" s="64" t="s">
        <v>128</v>
      </c>
      <c r="I28" s="114">
        <f>I24-I25</f>
        <v>45</v>
      </c>
      <c r="J28" s="97">
        <f>(1/2.48)*(I28*(170.18/I9)-41.37)</f>
        <v>1.2717085521380369</v>
      </c>
      <c r="K28" s="58"/>
    </row>
    <row r="29" spans="3:11" ht="12.75" customHeight="1" thickBot="1">
      <c r="C29" s="54"/>
      <c r="F29" s="79"/>
      <c r="H29" s="117" t="s">
        <v>129</v>
      </c>
      <c r="I29" s="118">
        <v>171</v>
      </c>
      <c r="J29" s="105">
        <f>(1/7.41)*(I29*(170.18/I9)-172.35)</f>
        <v>-0.42637228132944199</v>
      </c>
      <c r="K29" s="58"/>
    </row>
    <row r="30" spans="3:11" ht="12.75" customHeight="1" thickBot="1">
      <c r="C30" s="54"/>
      <c r="D30" s="55" t="s">
        <v>130</v>
      </c>
      <c r="E30" s="119"/>
      <c r="F30" s="79"/>
      <c r="J30" s="106"/>
      <c r="K30" s="58"/>
    </row>
    <row r="31" spans="3:11" ht="12.75" customHeight="1" thickBot="1">
      <c r="C31" s="54"/>
      <c r="D31" s="120" t="s">
        <v>131</v>
      </c>
      <c r="E31" s="121">
        <f>I9/(POWER(I8,1/3))</f>
        <v>41.73455305508449</v>
      </c>
      <c r="F31" s="79"/>
      <c r="J31" s="106"/>
      <c r="K31" s="58"/>
    </row>
    <row r="32" spans="3:11" ht="17.399999999999999" thickBot="1">
      <c r="C32" s="54"/>
      <c r="D32" s="85" t="s">
        <v>132</v>
      </c>
      <c r="E32" s="122">
        <f>I8/((I9/100)*(I9/100))</f>
        <v>23.661438615467823</v>
      </c>
      <c r="F32" s="79"/>
      <c r="H32" s="123" t="s">
        <v>133</v>
      </c>
      <c r="I32" s="124"/>
      <c r="J32" s="106"/>
      <c r="K32" s="58"/>
    </row>
    <row r="33" spans="3:11" ht="14.4" thickBot="1">
      <c r="C33" s="54"/>
      <c r="F33" s="79"/>
      <c r="H33" s="125" t="s">
        <v>134</v>
      </c>
      <c r="I33" s="126">
        <f>(-0.7182+0.1451*(E9+E10+E12)*(170.18/I9)-0.00068*(E9+E10+E12)*(170.18/I9)*(E9+E10+E12)*(170.18/I9)+0.0000014*(E9+E10+E12)*(170.18/I9)*(E9+E10+E12)*(170.18/I9)*(E9+E10+E12)*(170.18/I9))</f>
        <v>3.751055118934111</v>
      </c>
      <c r="J33" s="106"/>
      <c r="K33" s="58"/>
    </row>
    <row r="34" spans="3:11" ht="12.75" customHeight="1">
      <c r="C34" s="54"/>
      <c r="D34" s="127" t="s">
        <v>135</v>
      </c>
      <c r="E34" s="128"/>
      <c r="F34" s="79"/>
      <c r="H34" s="129" t="s">
        <v>136</v>
      </c>
      <c r="I34" s="130">
        <f>0.858*I18+0.601*I17+0.188*(E19-E12*0.1)+0.161*(E20-E14*0.1)-0.131*I9+4.5</f>
        <v>9.4833999999999996</v>
      </c>
      <c r="J34" s="106"/>
      <c r="K34" s="58"/>
    </row>
    <row r="35" spans="3:11" ht="13.8">
      <c r="C35" s="54"/>
      <c r="D35" s="131" t="s">
        <v>137</v>
      </c>
      <c r="E35" s="130">
        <f>IF((A4=1),(0.1051*E15+2.585),(0.1548*E15+3.58))</f>
        <v>10.362400000000001</v>
      </c>
      <c r="F35" s="79"/>
      <c r="H35" s="132" t="s">
        <v>138</v>
      </c>
      <c r="I35" s="133">
        <f>IF(AND(E31&gt;40.75),(E31*0.732-28.58),IF(AND(E31&lt;38.29),0.1,E31*0.463-17.63))</f>
        <v>1.9696928363218476</v>
      </c>
      <c r="J35" s="106"/>
      <c r="K35" s="58"/>
    </row>
    <row r="36" spans="3:11" ht="13.8">
      <c r="C36" s="54"/>
      <c r="D36" s="131" t="s">
        <v>139</v>
      </c>
      <c r="E36" s="130">
        <f>(E25*100)/I8</f>
        <v>42.105802984228163</v>
      </c>
      <c r="F36" s="79"/>
      <c r="H36" s="134" t="s">
        <v>140</v>
      </c>
      <c r="I36" s="130">
        <f>I35-I33</f>
        <v>-1.7813622826122635</v>
      </c>
      <c r="J36" s="106"/>
      <c r="K36" s="58"/>
    </row>
    <row r="37" spans="3:11" ht="14.4" thickBot="1">
      <c r="C37" s="54"/>
      <c r="D37" s="131" t="s">
        <v>141</v>
      </c>
      <c r="E37" s="130">
        <f>(E28*100)/I8</f>
        <v>23.431797015771831</v>
      </c>
      <c r="H37" s="135" t="s">
        <v>142</v>
      </c>
      <c r="I37" s="136">
        <f>(I34)*2-(I35+I33)</f>
        <v>13.24605204474404</v>
      </c>
      <c r="J37" s="106"/>
      <c r="K37" s="58"/>
    </row>
    <row r="38" spans="3:11" ht="12.75" customHeight="1" thickBot="1">
      <c r="C38" s="54"/>
      <c r="D38" s="137" t="s">
        <v>143</v>
      </c>
      <c r="E38" s="122">
        <f>((E26*100)/I8)</f>
        <v>24.1</v>
      </c>
      <c r="F38" s="79"/>
      <c r="K38" s="58"/>
    </row>
    <row r="39" spans="3:11" ht="12.75" customHeight="1" thickBot="1">
      <c r="C39" s="40"/>
      <c r="D39" s="43"/>
      <c r="E39" s="43"/>
      <c r="F39" s="138"/>
      <c r="G39" s="43"/>
      <c r="H39" s="43"/>
      <c r="I39" s="43"/>
      <c r="J39" s="139"/>
      <c r="K39" s="44"/>
    </row>
    <row r="41" spans="3:11" ht="13.8" thickBot="1"/>
    <row r="42" spans="3:11" ht="16.2">
      <c r="I42" s="140"/>
      <c r="J42" s="141"/>
    </row>
    <row r="43" spans="3:11" ht="19.5" customHeight="1" thickBot="1">
      <c r="I43" s="142">
        <f>I36</f>
        <v>-1.7813622826122635</v>
      </c>
      <c r="J43" s="122">
        <f>I37</f>
        <v>13.24605204474404</v>
      </c>
    </row>
    <row r="45" spans="3:11" ht="13.8" thickBot="1">
      <c r="H45" s="143" t="s">
        <v>144</v>
      </c>
    </row>
    <row r="46" spans="3:11" ht="13.8" thickBot="1">
      <c r="H46" s="143"/>
      <c r="I46" s="60" t="s">
        <v>140</v>
      </c>
      <c r="J46" s="39" t="s">
        <v>142</v>
      </c>
    </row>
    <row r="47" spans="3:11" ht="16.8">
      <c r="H47" s="144" t="s">
        <v>145</v>
      </c>
      <c r="I47" s="145">
        <v>-6</v>
      </c>
      <c r="J47" s="146">
        <v>-6</v>
      </c>
    </row>
    <row r="48" spans="3:11" ht="16.8">
      <c r="H48" s="147" t="s">
        <v>146</v>
      </c>
      <c r="I48" s="148">
        <v>0</v>
      </c>
      <c r="J48" s="149">
        <v>12</v>
      </c>
    </row>
    <row r="49" spans="8:10" ht="17.399999999999999" thickBot="1">
      <c r="H49" s="150" t="s">
        <v>147</v>
      </c>
      <c r="I49" s="151">
        <v>6</v>
      </c>
      <c r="J49" s="152">
        <v>-6</v>
      </c>
    </row>
    <row r="50" spans="8:10">
      <c r="J50" s="36"/>
    </row>
    <row r="60" spans="8:10" ht="17.25" customHeight="1"/>
    <row r="61" spans="8:10" ht="17.25" customHeight="1"/>
    <row r="62" spans="8:10" ht="17.25" customHeight="1"/>
    <row r="70" ht="16.5" customHeight="1"/>
  </sheetData>
  <mergeCells count="2">
    <mergeCell ref="D23:F23"/>
    <mergeCell ref="D24:E24"/>
  </mergeCells>
  <conditionalFormatting sqref="I33">
    <cfRule type="expression" dxfId="53" priority="5" stopIfTrue="1">
      <formula>ISERROR($I$33)</formula>
    </cfRule>
  </conditionalFormatting>
  <conditionalFormatting sqref="I35">
    <cfRule type="expression" dxfId="52" priority="6" stopIfTrue="1">
      <formula>ISERROR($I$35)</formula>
    </cfRule>
  </conditionalFormatting>
  <conditionalFormatting sqref="I36">
    <cfRule type="expression" dxfId="51" priority="7" stopIfTrue="1">
      <formula>ISERROR($I$36)</formula>
    </cfRule>
  </conditionalFormatting>
  <conditionalFormatting sqref="I37">
    <cfRule type="expression" dxfId="50" priority="8" stopIfTrue="1">
      <formula>ISERROR($I$37)</formula>
    </cfRule>
  </conditionalFormatting>
  <conditionalFormatting sqref="E31">
    <cfRule type="expression" dxfId="49" priority="9" stopIfTrue="1">
      <formula>ISERROR($E$31)</formula>
    </cfRule>
  </conditionalFormatting>
  <conditionalFormatting sqref="E32">
    <cfRule type="expression" dxfId="48" priority="10" stopIfTrue="1">
      <formula>ISERROR($E$32)</formula>
    </cfRule>
  </conditionalFormatting>
  <conditionalFormatting sqref="E36">
    <cfRule type="expression" dxfId="47" priority="11" stopIfTrue="1">
      <formula>ISERROR($E$36)</formula>
    </cfRule>
  </conditionalFormatting>
  <conditionalFormatting sqref="E37">
    <cfRule type="expression" dxfId="46" priority="12" stopIfTrue="1">
      <formula>ISERROR($E$37)</formula>
    </cfRule>
  </conditionalFormatting>
  <conditionalFormatting sqref="E38">
    <cfRule type="expression" dxfId="45" priority="13" stopIfTrue="1">
      <formula>ISERROR($E$38)</formula>
    </cfRule>
  </conditionalFormatting>
  <conditionalFormatting sqref="E26 E28">
    <cfRule type="cellIs" dxfId="44" priority="14" stopIfTrue="1" operator="equal">
      <formula>0</formula>
    </cfRule>
  </conditionalFormatting>
  <conditionalFormatting sqref="I34">
    <cfRule type="expression" dxfId="43" priority="15" stopIfTrue="1">
      <formula>ISERROR($I$34)</formula>
    </cfRule>
    <cfRule type="cellIs" dxfId="42" priority="16" stopIfTrue="1" operator="equal">
      <formula>4.5</formula>
    </cfRule>
  </conditionalFormatting>
  <conditionalFormatting sqref="I43">
    <cfRule type="expression" dxfId="41" priority="17" stopIfTrue="1">
      <formula>ISERROR($I$43)</formula>
    </cfRule>
    <cfRule type="cellIs" dxfId="40" priority="18" stopIfTrue="1" operator="equal">
      <formula>0</formula>
    </cfRule>
  </conditionalFormatting>
  <conditionalFormatting sqref="J43">
    <cfRule type="expression" dxfId="39" priority="19" stopIfTrue="1">
      <formula>ISERROR($J$43)</formula>
    </cfRule>
  </conditionalFormatting>
  <conditionalFormatting sqref="F9">
    <cfRule type="expression" dxfId="38" priority="20" stopIfTrue="1">
      <formula>ISERROR($F$9)</formula>
    </cfRule>
  </conditionalFormatting>
  <conditionalFormatting sqref="F10">
    <cfRule type="expression" dxfId="37" priority="21" stopIfTrue="1">
      <formula>ISERROR($F$10)</formula>
    </cfRule>
  </conditionalFormatting>
  <conditionalFormatting sqref="F11">
    <cfRule type="expression" dxfId="36" priority="22" stopIfTrue="1">
      <formula>ISERROR($F$11)</formula>
    </cfRule>
  </conditionalFormatting>
  <conditionalFormatting sqref="F12">
    <cfRule type="expression" dxfId="35" priority="23" stopIfTrue="1">
      <formula>ISERROR($F$12)</formula>
    </cfRule>
  </conditionalFormatting>
  <conditionalFormatting sqref="F13">
    <cfRule type="expression" dxfId="34" priority="24" stopIfTrue="1">
      <formula>ISERROR($F$13)</formula>
    </cfRule>
  </conditionalFormatting>
  <conditionalFormatting sqref="F14">
    <cfRule type="expression" dxfId="33" priority="25" stopIfTrue="1">
      <formula>ISERROR($F$14)</formula>
    </cfRule>
  </conditionalFormatting>
  <conditionalFormatting sqref="F15">
    <cfRule type="expression" dxfId="32" priority="26" stopIfTrue="1">
      <formula>ISERROR($F$15)</formula>
    </cfRule>
  </conditionalFormatting>
  <conditionalFormatting sqref="F19">
    <cfRule type="expression" dxfId="31" priority="27" stopIfTrue="1">
      <formula>ISERROR($F$19)</formula>
    </cfRule>
  </conditionalFormatting>
  <conditionalFormatting sqref="F20">
    <cfRule type="expression" dxfId="30" priority="28" stopIfTrue="1">
      <formula>ISERROR($F$20)</formula>
    </cfRule>
  </conditionalFormatting>
  <conditionalFormatting sqref="J17">
    <cfRule type="expression" dxfId="29" priority="29" stopIfTrue="1">
      <formula>ISERROR($J$17)</formula>
    </cfRule>
  </conditionalFormatting>
  <conditionalFormatting sqref="J18">
    <cfRule type="expression" dxfId="28" priority="30" stopIfTrue="1">
      <formula>ISERROR($J$18)</formula>
    </cfRule>
  </conditionalFormatting>
  <conditionalFormatting sqref="J19">
    <cfRule type="expression" dxfId="27" priority="31" stopIfTrue="1">
      <formula>ISERROR($J$19)</formula>
    </cfRule>
  </conditionalFormatting>
  <conditionalFormatting sqref="J24">
    <cfRule type="expression" dxfId="26" priority="32" stopIfTrue="1">
      <formula>ISERROR($J$24)</formula>
    </cfRule>
  </conditionalFormatting>
  <conditionalFormatting sqref="J25:J26">
    <cfRule type="expression" dxfId="25" priority="33" stopIfTrue="1">
      <formula>ISERROR($J$25)</formula>
    </cfRule>
  </conditionalFormatting>
  <conditionalFormatting sqref="J27">
    <cfRule type="expression" dxfId="24" priority="34" stopIfTrue="1">
      <formula>ISERROR($J$27)</formula>
    </cfRule>
  </conditionalFormatting>
  <conditionalFormatting sqref="J28">
    <cfRule type="expression" dxfId="23" priority="35" stopIfTrue="1">
      <formula>ISERROR($J$28)</formula>
    </cfRule>
  </conditionalFormatting>
  <conditionalFormatting sqref="J29">
    <cfRule type="expression" dxfId="22" priority="36" stopIfTrue="1">
      <formula>ISERROR($J$29)</formula>
    </cfRule>
  </conditionalFormatting>
  <conditionalFormatting sqref="F25">
    <cfRule type="expression" dxfId="21" priority="37" stopIfTrue="1">
      <formula>ISERROR($F$25)</formula>
    </cfRule>
  </conditionalFormatting>
  <conditionalFormatting sqref="F26">
    <cfRule type="expression" dxfId="20" priority="38" stopIfTrue="1">
      <formula>ISERROR($F$26)</formula>
    </cfRule>
  </conditionalFormatting>
  <conditionalFormatting sqref="F27">
    <cfRule type="expression" dxfId="19" priority="39" stopIfTrue="1">
      <formula>ISERROR($F$27)</formula>
    </cfRule>
  </conditionalFormatting>
  <conditionalFormatting sqref="F28">
    <cfRule type="expression" dxfId="18" priority="40" stopIfTrue="1">
      <formula>ISERROR($F$28)</formula>
    </cfRule>
  </conditionalFormatting>
  <conditionalFormatting sqref="J9">
    <cfRule type="expression" dxfId="17" priority="41" stopIfTrue="1">
      <formula>ISERROR($J$9)</formula>
    </cfRule>
    <cfRule type="cellIs" dxfId="16" priority="42" stopIfTrue="1" operator="equal">
      <formula>0</formula>
    </cfRule>
  </conditionalFormatting>
  <conditionalFormatting sqref="J8">
    <cfRule type="expression" dxfId="15" priority="43" stopIfTrue="1">
      <formula>ISERROR($J$8)</formula>
    </cfRule>
    <cfRule type="cellIs" dxfId="14" priority="44" stopIfTrue="1" operator="equal">
      <formula>0</formula>
    </cfRule>
  </conditionalFormatting>
  <conditionalFormatting sqref="I27">
    <cfRule type="cellIs" dxfId="13" priority="45" stopIfTrue="1" operator="equal">
      <formula>0</formula>
    </cfRule>
    <cfRule type="expression" dxfId="12" priority="46" stopIfTrue="1">
      <formula>ISERROR(I27)</formula>
    </cfRule>
  </conditionalFormatting>
  <conditionalFormatting sqref="I28">
    <cfRule type="cellIs" dxfId="11" priority="47" stopIfTrue="1" operator="equal">
      <formula>0</formula>
    </cfRule>
    <cfRule type="expression" dxfId="10" priority="48" stopIfTrue="1">
      <formula>ISERROR(I28)</formula>
    </cfRule>
  </conditionalFormatting>
  <conditionalFormatting sqref="E9:E15">
    <cfRule type="expression" dxfId="9" priority="49" stopIfTrue="1">
      <formula>ISERROR(E9)</formula>
    </cfRule>
  </conditionalFormatting>
  <conditionalFormatting sqref="E35">
    <cfRule type="cellIs" dxfId="8" priority="50" stopIfTrue="1" operator="equal">
      <formula>3.58</formula>
    </cfRule>
    <cfRule type="expression" dxfId="7" priority="51" stopIfTrue="1">
      <formula>ISERROR(E35)</formula>
    </cfRule>
  </conditionalFormatting>
  <conditionalFormatting sqref="E25 E27">
    <cfRule type="cellIs" dxfId="6" priority="52" stopIfTrue="1" operator="equal">
      <formula>0</formula>
    </cfRule>
    <cfRule type="expression" dxfId="5" priority="53" stopIfTrue="1">
      <formula>ISERROR(E25)</formula>
    </cfRule>
  </conditionalFormatting>
  <conditionalFormatting sqref="F21">
    <cfRule type="expression" dxfId="4" priority="54" stopIfTrue="1">
      <formula>ISERROR(F21)</formula>
    </cfRule>
  </conditionalFormatting>
  <conditionalFormatting sqref="R3">
    <cfRule type="expression" dxfId="3" priority="3" stopIfTrue="1">
      <formula>ISERROR($J$8)</formula>
    </cfRule>
    <cfRule type="cellIs" dxfId="2" priority="4" stopIfTrue="1" operator="equal">
      <formula>0</formula>
    </cfRule>
  </conditionalFormatting>
  <conditionalFormatting sqref="R4">
    <cfRule type="expression" dxfId="1" priority="1" stopIfTrue="1">
      <formula>ISERROR($J$9)</formula>
    </cfRule>
    <cfRule type="cellIs" dxfId="0" priority="2" stopIfTrue="1" operator="equal">
      <formula>0</formula>
    </cfRule>
  </conditionalFormatting>
  <pageMargins left="0.75" right="0.75" top="1" bottom="1" header="0" footer="0"/>
  <pageSetup paperSize="9" scale="82" orientation="landscape" r:id="rId1"/>
  <headerFooter alignWithMargins="0"/>
  <rowBreaks count="2" manualBreakCount="2">
    <brk id="49" max="11" man="1"/>
    <brk id="115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8</xdr:col>
                    <xdr:colOff>15240</xdr:colOff>
                    <xdr:row>11</xdr:row>
                    <xdr:rowOff>0</xdr:rowOff>
                  </from>
                  <to>
                    <xdr:col>9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FD80-5CB6-4C7F-A9F8-F50D1B626D84}">
  <dimension ref="A1:L13"/>
  <sheetViews>
    <sheetView zoomScaleNormal="100" workbookViewId="0">
      <selection activeCell="I12" sqref="I12"/>
    </sheetView>
  </sheetViews>
  <sheetFormatPr baseColWidth="10" defaultRowHeight="14.4"/>
  <cols>
    <col min="4" max="4" width="15" bestFit="1" customWidth="1"/>
    <col min="6" max="6" width="15.109375" bestFit="1" customWidth="1"/>
    <col min="11" max="11" width="15.5546875" bestFit="1" customWidth="1"/>
  </cols>
  <sheetData>
    <row r="1" spans="1:12">
      <c r="A1" s="154"/>
      <c r="B1" s="169" t="s">
        <v>149</v>
      </c>
      <c r="C1" s="169"/>
      <c r="D1" s="169"/>
      <c r="E1" s="169"/>
      <c r="G1" s="155" t="s">
        <v>150</v>
      </c>
    </row>
    <row r="2" spans="1:12">
      <c r="A2" s="155" t="s">
        <v>151</v>
      </c>
      <c r="B2" s="155" t="s">
        <v>152</v>
      </c>
      <c r="C2" s="155" t="s">
        <v>153</v>
      </c>
      <c r="D2" s="155" t="s">
        <v>154</v>
      </c>
      <c r="E2" s="155" t="s">
        <v>48</v>
      </c>
      <c r="F2" s="155" t="s">
        <v>155</v>
      </c>
      <c r="G2" s="1" t="s">
        <v>105</v>
      </c>
      <c r="H2" s="156">
        <v>24</v>
      </c>
    </row>
    <row r="3" spans="1:12">
      <c r="A3" s="19">
        <v>0</v>
      </c>
      <c r="B3" s="15">
        <v>0.31</v>
      </c>
      <c r="C3" s="15">
        <v>0.25</v>
      </c>
      <c r="D3" s="19">
        <v>6</v>
      </c>
      <c r="E3" s="19">
        <v>63</v>
      </c>
      <c r="F3" s="157">
        <v>2</v>
      </c>
      <c r="G3" s="1" t="s">
        <v>92</v>
      </c>
      <c r="H3" s="156">
        <v>70</v>
      </c>
    </row>
    <row r="4" spans="1:12">
      <c r="A4" s="19">
        <v>50</v>
      </c>
      <c r="B4" s="15">
        <v>1.38</v>
      </c>
      <c r="C4" s="15">
        <v>1.1399999999999999</v>
      </c>
      <c r="D4" s="19">
        <v>8</v>
      </c>
      <c r="E4" s="19">
        <v>93</v>
      </c>
      <c r="F4" s="157">
        <v>1.7</v>
      </c>
      <c r="L4" s="158"/>
    </row>
    <row r="5" spans="1:12">
      <c r="A5" s="19">
        <v>75</v>
      </c>
      <c r="B5" s="15">
        <v>1.39</v>
      </c>
      <c r="C5" s="15">
        <v>1.1599999999999999</v>
      </c>
      <c r="D5" s="19">
        <v>9</v>
      </c>
      <c r="E5" s="19">
        <v>102</v>
      </c>
      <c r="F5" s="157">
        <v>1.7</v>
      </c>
      <c r="L5" s="158"/>
    </row>
    <row r="6" spans="1:12">
      <c r="A6" s="19">
        <v>100</v>
      </c>
      <c r="B6" s="15">
        <v>1.67</v>
      </c>
      <c r="C6" s="15">
        <v>1.49</v>
      </c>
      <c r="D6" s="19">
        <v>10</v>
      </c>
      <c r="E6" s="19">
        <v>114</v>
      </c>
      <c r="F6" s="157">
        <v>2.1</v>
      </c>
      <c r="L6" s="158"/>
    </row>
    <row r="7" spans="1:12" ht="13.8" customHeight="1">
      <c r="A7" s="160">
        <v>125</v>
      </c>
      <c r="B7" s="161">
        <v>1.71</v>
      </c>
      <c r="C7" s="161">
        <v>1.59</v>
      </c>
      <c r="D7" s="160">
        <v>12</v>
      </c>
      <c r="E7" s="160">
        <v>121</v>
      </c>
      <c r="F7" s="162">
        <v>4</v>
      </c>
      <c r="K7" s="159"/>
    </row>
    <row r="8" spans="1:12">
      <c r="A8" s="19">
        <v>150</v>
      </c>
      <c r="B8" s="15">
        <v>2.0099999999999998</v>
      </c>
      <c r="C8" s="15">
        <v>1.96</v>
      </c>
      <c r="D8" s="19">
        <v>14</v>
      </c>
      <c r="E8" s="19">
        <v>129</v>
      </c>
      <c r="F8" s="157">
        <v>6.1</v>
      </c>
      <c r="L8" s="158"/>
    </row>
    <row r="9" spans="1:12">
      <c r="A9" s="19">
        <v>175</v>
      </c>
      <c r="B9" s="15">
        <v>2.2799999999999998</v>
      </c>
      <c r="C9" s="15">
        <v>2.42</v>
      </c>
      <c r="D9" s="19">
        <v>16</v>
      </c>
      <c r="E9" s="19">
        <v>141</v>
      </c>
      <c r="F9" s="157">
        <v>7.8</v>
      </c>
      <c r="L9" s="158"/>
    </row>
    <row r="10" spans="1:12">
      <c r="A10" s="19">
        <v>200</v>
      </c>
      <c r="B10" s="15">
        <v>2.5099999999999998</v>
      </c>
      <c r="C10" s="15">
        <v>2.74</v>
      </c>
      <c r="D10" s="19">
        <v>17</v>
      </c>
      <c r="E10" s="19">
        <v>156</v>
      </c>
      <c r="F10" s="19"/>
      <c r="L10" s="158"/>
    </row>
    <row r="11" spans="1:12">
      <c r="A11" s="19">
        <v>225</v>
      </c>
      <c r="B11" s="15">
        <v>2.7</v>
      </c>
      <c r="C11" s="15">
        <v>3.18</v>
      </c>
      <c r="D11" s="19">
        <v>18</v>
      </c>
      <c r="E11" s="19">
        <v>168</v>
      </c>
      <c r="F11" s="19"/>
      <c r="L11" s="158"/>
    </row>
    <row r="12" spans="1:12">
      <c r="A12" s="19">
        <v>250</v>
      </c>
      <c r="B12" s="15">
        <v>2.96</v>
      </c>
      <c r="C12" s="15">
        <v>3.72</v>
      </c>
      <c r="D12" s="19">
        <v>19</v>
      </c>
      <c r="E12" s="19">
        <v>179</v>
      </c>
      <c r="F12" s="19"/>
      <c r="L12" s="158"/>
    </row>
    <row r="13" spans="1:12">
      <c r="A13" s="19">
        <v>275</v>
      </c>
      <c r="B13" s="15">
        <v>2.97</v>
      </c>
      <c r="C13" s="15">
        <v>3.82</v>
      </c>
      <c r="D13" s="19">
        <v>20</v>
      </c>
      <c r="E13" s="19">
        <v>181</v>
      </c>
      <c r="F13" s="19"/>
      <c r="L13" s="158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REPRODUCIBILIDAD</vt:lpstr>
      <vt:lpstr>1RM INDIRECTA</vt:lpstr>
      <vt:lpstr>POTENCIA</vt:lpstr>
      <vt:lpstr>VO2MAX</vt:lpstr>
      <vt:lpstr>WINGATE</vt:lpstr>
      <vt:lpstr>CORRELACIÓN</vt:lpstr>
      <vt:lpstr>DESHIDRATACIÓN</vt:lpstr>
      <vt:lpstr>CINEANTROPOMETRÍA</vt:lpstr>
      <vt:lpstr>LACTATO</vt:lpstr>
      <vt:lpstr>CINEANTROPOMETRÍA!Área_de_impresión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Del Coso</dc:creator>
  <cp:lastModifiedBy>Juan Del Coso</cp:lastModifiedBy>
  <dcterms:created xsi:type="dcterms:W3CDTF">2021-02-25T07:47:13Z</dcterms:created>
  <dcterms:modified xsi:type="dcterms:W3CDTF">2023-01-16T17:32:00Z</dcterms:modified>
</cp:coreProperties>
</file>